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0"/>
  <workbookPr/>
  <mc:AlternateContent xmlns:mc="http://schemas.openxmlformats.org/markup-compatibility/2006">
    <mc:Choice Requires="x15">
      <x15ac:absPath xmlns:x15ac="http://schemas.microsoft.com/office/spreadsheetml/2010/11/ac" url="https://thegoldstandard.sharepoint.com/sites/FUNC_SDM/Shared Documents/Standard/WIP - Sep-Nov'26/PARC/"/>
    </mc:Choice>
  </mc:AlternateContent>
  <xr:revisionPtr revIDLastSave="10" documentId="11_9D4AFBC7C5DD4D8C52852F95E2BDC97B4433FC1B" xr6:coauthVersionLast="47" xr6:coauthVersionMax="47" xr10:uidLastSave="{B65279BA-17B0-A04F-8CF1-87357D3F8E9E}"/>
  <workbookProtection workbookPassword="8666" lockStructure="1"/>
  <bookViews>
    <workbookView xWindow="0" yWindow="660" windowWidth="30240" windowHeight="18980" tabRatio="500" xr2:uid="{00000000-000D-0000-FFFF-FFFF00000000}"/>
  </bookViews>
  <sheets>
    <sheet name="Introduction" sheetId="1" r:id="rId1"/>
    <sheet name="Read me" sheetId="2" r:id="rId2"/>
    <sheet name="Guide" sheetId="3" r:id="rId3"/>
    <sheet name="Summary" sheetId="4" r:id="rId4"/>
    <sheet name="S1 T1 Distributed default" sheetId="5" r:id="rId5"/>
    <sheet name="S1M T1 Distributed measured" sheetId="6" r:id="rId6"/>
    <sheet name="S2 T2 Mechanised soil" sheetId="7" r:id="rId7"/>
    <sheet name="S2M T2 Calculated route" sheetId="8" r:id="rId8"/>
    <sheet name="S3 T3 Industrial soil" sheetId="9" r:id="rId9"/>
    <sheet name="S4 T1 Field residue F1" sheetId="10" r:id="rId10"/>
    <sheet name="S5 T2 Concrete A2" sheetId="11" r:id="rId11"/>
    <sheet name="S6 T3 Biosolids vault A3" sheetId="12" r:id="rId12"/>
    <sheet name="Annex 7" sheetId="13" r:id="rId13"/>
    <sheet name="Helpers" sheetId="14" r:id="rId14"/>
    <sheet name="Checks" sheetId="15" r:id="rId15"/>
    <sheet name="Defaults" sheetId="16" r:id="rId16"/>
    <sheet name="Lists" sheetId="17" r:id="rId17"/>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13" i="15" l="1"/>
  <c r="E13" i="15" s="1"/>
  <c r="C8" i="15"/>
  <c r="E8" i="15" s="1"/>
  <c r="C7" i="15"/>
  <c r="E7" i="15" s="1"/>
  <c r="C6" i="15"/>
  <c r="E6" i="15" s="1"/>
  <c r="C5" i="15"/>
  <c r="E5" i="15" s="1"/>
  <c r="C4" i="15"/>
  <c r="E4" i="15" s="1"/>
  <c r="C61" i="14"/>
  <c r="C51" i="14"/>
  <c r="C45" i="14"/>
  <c r="C44" i="14"/>
  <c r="C33" i="14"/>
  <c r="C23" i="14"/>
  <c r="C24" i="14" s="1"/>
  <c r="C8" i="14"/>
  <c r="C9" i="14" s="1"/>
  <c r="C50" i="13"/>
  <c r="C47" i="13"/>
  <c r="C46" i="13"/>
  <c r="C45" i="13"/>
  <c r="C44" i="13"/>
  <c r="C43" i="13"/>
  <c r="C40" i="13"/>
  <c r="C39" i="13"/>
  <c r="C38" i="13"/>
  <c r="C37" i="13"/>
  <c r="C36" i="13"/>
  <c r="C35" i="13"/>
  <c r="C32" i="13"/>
  <c r="C29" i="13"/>
  <c r="C28" i="13"/>
  <c r="C27" i="13"/>
  <c r="K22" i="13"/>
  <c r="J22" i="13"/>
  <c r="I22" i="13"/>
  <c r="H22" i="13"/>
  <c r="G22" i="13"/>
  <c r="F22" i="13"/>
  <c r="E22" i="13"/>
  <c r="D22" i="13"/>
  <c r="K21" i="13"/>
  <c r="J21" i="13"/>
  <c r="D43" i="11" s="1"/>
  <c r="I21" i="13"/>
  <c r="D43" i="10" s="1"/>
  <c r="H21" i="13"/>
  <c r="D43" i="9" s="1"/>
  <c r="G21" i="13"/>
  <c r="F21" i="13"/>
  <c r="D43" i="7" s="1"/>
  <c r="E21" i="13"/>
  <c r="D43" i="6" s="1"/>
  <c r="D21" i="13"/>
  <c r="D43" i="5" s="1"/>
  <c r="K20" i="13"/>
  <c r="J20" i="13"/>
  <c r="D42" i="11" s="1"/>
  <c r="I20" i="13"/>
  <c r="D42" i="10" s="1"/>
  <c r="H20" i="13"/>
  <c r="D42" i="9" s="1"/>
  <c r="G20" i="13"/>
  <c r="F20" i="13"/>
  <c r="D42" i="7" s="1"/>
  <c r="E20" i="13"/>
  <c r="D42" i="6" s="1"/>
  <c r="D20" i="13"/>
  <c r="D42" i="5" s="1"/>
  <c r="K19" i="13"/>
  <c r="K23" i="13" s="1"/>
  <c r="D44" i="12" s="1"/>
  <c r="J19" i="13"/>
  <c r="J23" i="13" s="1"/>
  <c r="D44" i="11" s="1"/>
  <c r="I19" i="13"/>
  <c r="I23" i="13" s="1"/>
  <c r="D44" i="10" s="1"/>
  <c r="H19" i="13"/>
  <c r="H23" i="13" s="1"/>
  <c r="D44" i="9" s="1"/>
  <c r="D46" i="9" s="1"/>
  <c r="G14" i="4" s="1"/>
  <c r="G19" i="13"/>
  <c r="G23" i="13" s="1"/>
  <c r="D44" i="8" s="1"/>
  <c r="D46" i="8" s="1"/>
  <c r="F14" i="4" s="1"/>
  <c r="F19" i="13"/>
  <c r="F23" i="13" s="1"/>
  <c r="D44" i="7" s="1"/>
  <c r="D46" i="7" s="1"/>
  <c r="E14" i="4" s="1"/>
  <c r="E19" i="13"/>
  <c r="E23" i="13" s="1"/>
  <c r="D44" i="6" s="1"/>
  <c r="D19" i="13"/>
  <c r="D23" i="13" s="1"/>
  <c r="D44" i="5" s="1"/>
  <c r="K7" i="13"/>
  <c r="J7" i="13"/>
  <c r="I7" i="13"/>
  <c r="H7" i="13"/>
  <c r="G7" i="13"/>
  <c r="F7" i="13"/>
  <c r="E7" i="13"/>
  <c r="D7" i="13"/>
  <c r="K6" i="13"/>
  <c r="J6" i="13"/>
  <c r="I6" i="13"/>
  <c r="H6" i="13"/>
  <c r="G6" i="13"/>
  <c r="F6" i="13"/>
  <c r="E6" i="13"/>
  <c r="D6" i="13"/>
  <c r="D164" i="12"/>
  <c r="M162" i="12"/>
  <c r="L162" i="12"/>
  <c r="K162" i="12"/>
  <c r="J162" i="12"/>
  <c r="I162" i="12"/>
  <c r="H162" i="12"/>
  <c r="G162" i="12"/>
  <c r="F162" i="12"/>
  <c r="E162" i="12"/>
  <c r="D162" i="12"/>
  <c r="N162" i="12" s="1"/>
  <c r="M157" i="12"/>
  <c r="L157" i="12"/>
  <c r="K157" i="12"/>
  <c r="J157" i="12"/>
  <c r="I157" i="12"/>
  <c r="H157" i="12"/>
  <c r="G157" i="12"/>
  <c r="F157" i="12"/>
  <c r="E157" i="12"/>
  <c r="D157" i="12"/>
  <c r="N157" i="12" s="1"/>
  <c r="M156" i="12"/>
  <c r="L156" i="12"/>
  <c r="K156" i="12"/>
  <c r="J156" i="12"/>
  <c r="I156" i="12"/>
  <c r="H156" i="12"/>
  <c r="G156" i="12"/>
  <c r="F156" i="12"/>
  <c r="E156" i="12"/>
  <c r="D156" i="12"/>
  <c r="N156" i="12" s="1"/>
  <c r="M155" i="12"/>
  <c r="L155" i="12"/>
  <c r="K155" i="12"/>
  <c r="J155" i="12"/>
  <c r="I155" i="12"/>
  <c r="H155" i="12"/>
  <c r="G155" i="12"/>
  <c r="F155" i="12"/>
  <c r="E155" i="12"/>
  <c r="D155" i="12"/>
  <c r="N155" i="12" s="1"/>
  <c r="M149" i="12"/>
  <c r="L149" i="12"/>
  <c r="K149" i="12"/>
  <c r="J149" i="12"/>
  <c r="I149" i="12"/>
  <c r="H149" i="12"/>
  <c r="G149" i="12"/>
  <c r="F149" i="12"/>
  <c r="E149" i="12"/>
  <c r="D149" i="12"/>
  <c r="N149" i="12" s="1"/>
  <c r="M148" i="12"/>
  <c r="L148" i="12"/>
  <c r="K148" i="12"/>
  <c r="J148" i="12"/>
  <c r="I148" i="12"/>
  <c r="H148" i="12"/>
  <c r="G148" i="12"/>
  <c r="F148" i="12"/>
  <c r="E148" i="12"/>
  <c r="D148" i="12"/>
  <c r="N148" i="12" s="1"/>
  <c r="M147" i="12"/>
  <c r="L147" i="12"/>
  <c r="K147" i="12"/>
  <c r="J147" i="12"/>
  <c r="I147" i="12"/>
  <c r="H147" i="12"/>
  <c r="G147" i="12"/>
  <c r="F147" i="12"/>
  <c r="E147" i="12"/>
  <c r="D147" i="12"/>
  <c r="N147" i="12" s="1"/>
  <c r="M146" i="12"/>
  <c r="L146" i="12"/>
  <c r="K146" i="12"/>
  <c r="J146" i="12"/>
  <c r="I146" i="12"/>
  <c r="H146" i="12"/>
  <c r="G146" i="12"/>
  <c r="F146" i="12"/>
  <c r="E146" i="12"/>
  <c r="D146" i="12"/>
  <c r="N146" i="12" s="1"/>
  <c r="M145" i="12"/>
  <c r="L145" i="12"/>
  <c r="K145" i="12"/>
  <c r="J145" i="12"/>
  <c r="I145" i="12"/>
  <c r="H145" i="12"/>
  <c r="G145" i="12"/>
  <c r="F145" i="12"/>
  <c r="E145" i="12"/>
  <c r="D145" i="12"/>
  <c r="N145" i="12" s="1"/>
  <c r="M144" i="12"/>
  <c r="L144" i="12"/>
  <c r="K144" i="12"/>
  <c r="J144" i="12"/>
  <c r="I144" i="12"/>
  <c r="H144" i="12"/>
  <c r="G144" i="12"/>
  <c r="F144" i="12"/>
  <c r="E144" i="12"/>
  <c r="D144" i="12"/>
  <c r="N144" i="12" s="1"/>
  <c r="M137" i="12"/>
  <c r="L137" i="12"/>
  <c r="K137" i="12"/>
  <c r="J137" i="12"/>
  <c r="I137" i="12"/>
  <c r="H137" i="12"/>
  <c r="G137" i="12"/>
  <c r="F137" i="12"/>
  <c r="E137" i="12"/>
  <c r="D137" i="12"/>
  <c r="N137" i="12" s="1"/>
  <c r="N130" i="12"/>
  <c r="N129" i="12"/>
  <c r="N128" i="12"/>
  <c r="N127" i="12"/>
  <c r="N126" i="12"/>
  <c r="N125" i="12"/>
  <c r="N124" i="12"/>
  <c r="N123" i="12"/>
  <c r="N122" i="12"/>
  <c r="N121" i="12"/>
  <c r="N120" i="12"/>
  <c r="N119" i="12"/>
  <c r="N117" i="12"/>
  <c r="N116" i="12"/>
  <c r="N115" i="12"/>
  <c r="D110" i="12"/>
  <c r="D109" i="12"/>
  <c r="D98" i="12"/>
  <c r="D100" i="12" s="1"/>
  <c r="D93" i="12"/>
  <c r="D91" i="12"/>
  <c r="J12" i="4" s="1"/>
  <c r="D88" i="12"/>
  <c r="J11" i="4" s="1"/>
  <c r="D83" i="12"/>
  <c r="D82" i="12"/>
  <c r="D85" i="12" s="1"/>
  <c r="J9" i="4" s="1"/>
  <c r="D80" i="12"/>
  <c r="J8" i="4" s="1"/>
  <c r="D79" i="12"/>
  <c r="D76" i="12"/>
  <c r="D67" i="12"/>
  <c r="D66" i="12"/>
  <c r="D65" i="12"/>
  <c r="D60" i="12"/>
  <c r="D53" i="12"/>
  <c r="D52" i="12"/>
  <c r="D46" i="12"/>
  <c r="J14" i="4" s="1"/>
  <c r="D43" i="12"/>
  <c r="D42" i="12"/>
  <c r="D37" i="12"/>
  <c r="D34" i="12"/>
  <c r="D36" i="12" s="1"/>
  <c r="J13" i="4" s="1"/>
  <c r="D29" i="12"/>
  <c r="D28" i="12"/>
  <c r="D27" i="12"/>
  <c r="D164" i="11"/>
  <c r="M162" i="11"/>
  <c r="L162" i="11"/>
  <c r="K162" i="11"/>
  <c r="J162" i="11"/>
  <c r="I162" i="11"/>
  <c r="H162" i="11"/>
  <c r="G162" i="11"/>
  <c r="F162" i="11"/>
  <c r="E162" i="11"/>
  <c r="D162" i="11"/>
  <c r="N162" i="11" s="1"/>
  <c r="M157" i="11"/>
  <c r="L157" i="11"/>
  <c r="K157" i="11"/>
  <c r="J157" i="11"/>
  <c r="I157" i="11"/>
  <c r="H157" i="11"/>
  <c r="G157" i="11"/>
  <c r="F157" i="11"/>
  <c r="E157" i="11"/>
  <c r="D157" i="11"/>
  <c r="N157" i="11" s="1"/>
  <c r="M156" i="11"/>
  <c r="L156" i="11"/>
  <c r="K156" i="11"/>
  <c r="J156" i="11"/>
  <c r="I156" i="11"/>
  <c r="H156" i="11"/>
  <c r="G156" i="11"/>
  <c r="F156" i="11"/>
  <c r="E156" i="11"/>
  <c r="D156" i="11"/>
  <c r="N156" i="11" s="1"/>
  <c r="M155" i="11"/>
  <c r="L155" i="11"/>
  <c r="K155" i="11"/>
  <c r="J155" i="11"/>
  <c r="I155" i="11"/>
  <c r="H155" i="11"/>
  <c r="G155" i="11"/>
  <c r="F155" i="11"/>
  <c r="E155" i="11"/>
  <c r="D155" i="11"/>
  <c r="N155" i="11" s="1"/>
  <c r="M154" i="11"/>
  <c r="M158" i="11" s="1"/>
  <c r="M159" i="11" s="1"/>
  <c r="L154" i="11"/>
  <c r="L158" i="11" s="1"/>
  <c r="L159" i="11" s="1"/>
  <c r="K154" i="11"/>
  <c r="K158" i="11" s="1"/>
  <c r="K159" i="11" s="1"/>
  <c r="M149" i="11"/>
  <c r="L149" i="11"/>
  <c r="K149" i="11"/>
  <c r="J149" i="11"/>
  <c r="I149" i="11"/>
  <c r="H149" i="11"/>
  <c r="G149" i="11"/>
  <c r="F149" i="11"/>
  <c r="E149" i="11"/>
  <c r="D149" i="11"/>
  <c r="N149" i="11" s="1"/>
  <c r="M148" i="11"/>
  <c r="L148" i="11"/>
  <c r="K148" i="11"/>
  <c r="J148" i="11"/>
  <c r="I148" i="11"/>
  <c r="H148" i="11"/>
  <c r="G148" i="11"/>
  <c r="F148" i="11"/>
  <c r="E148" i="11"/>
  <c r="D148" i="11"/>
  <c r="N148" i="11" s="1"/>
  <c r="M147" i="11"/>
  <c r="L147" i="11"/>
  <c r="K147" i="11"/>
  <c r="J147" i="11"/>
  <c r="I147" i="11"/>
  <c r="H147" i="11"/>
  <c r="G147" i="11"/>
  <c r="F147" i="11"/>
  <c r="E147" i="11"/>
  <c r="D147" i="11"/>
  <c r="N147" i="11" s="1"/>
  <c r="M146" i="11"/>
  <c r="L146" i="11"/>
  <c r="K146" i="11"/>
  <c r="J146" i="11"/>
  <c r="I146" i="11"/>
  <c r="H146" i="11"/>
  <c r="G146" i="11"/>
  <c r="F146" i="11"/>
  <c r="E146" i="11"/>
  <c r="D146" i="11"/>
  <c r="N146" i="11" s="1"/>
  <c r="M145" i="11"/>
  <c r="L145" i="11"/>
  <c r="K145" i="11"/>
  <c r="J145" i="11"/>
  <c r="I145" i="11"/>
  <c r="H145" i="11"/>
  <c r="G145" i="11"/>
  <c r="F145" i="11"/>
  <c r="E145" i="11"/>
  <c r="D145" i="11"/>
  <c r="N145" i="11" s="1"/>
  <c r="M144" i="11"/>
  <c r="L144" i="11"/>
  <c r="K144" i="11"/>
  <c r="J144" i="11"/>
  <c r="I144" i="11"/>
  <c r="H144" i="11"/>
  <c r="G144" i="11"/>
  <c r="F144" i="11"/>
  <c r="E144" i="11"/>
  <c r="D144" i="11"/>
  <c r="N144" i="11" s="1"/>
  <c r="M137" i="11"/>
  <c r="L137" i="11"/>
  <c r="K137" i="11"/>
  <c r="J137" i="11"/>
  <c r="I137" i="11"/>
  <c r="H137" i="11"/>
  <c r="G137" i="11"/>
  <c r="F137" i="11"/>
  <c r="E137" i="11"/>
  <c r="D137" i="11"/>
  <c r="N137" i="11" s="1"/>
  <c r="N130" i="11"/>
  <c r="N129" i="11"/>
  <c r="N128" i="11"/>
  <c r="N127" i="11"/>
  <c r="N126" i="11"/>
  <c r="N125" i="11"/>
  <c r="N124" i="11"/>
  <c r="N123" i="11"/>
  <c r="N122" i="11"/>
  <c r="N121" i="11"/>
  <c r="N120" i="11"/>
  <c r="N119" i="11"/>
  <c r="N117" i="11"/>
  <c r="N116" i="11"/>
  <c r="N115" i="11"/>
  <c r="D110" i="11"/>
  <c r="D109" i="11"/>
  <c r="D98" i="11"/>
  <c r="D100" i="11" s="1"/>
  <c r="D93" i="11"/>
  <c r="D91" i="11"/>
  <c r="I12" i="4" s="1"/>
  <c r="D88" i="11"/>
  <c r="I11" i="4" s="1"/>
  <c r="D83" i="11"/>
  <c r="D82" i="11"/>
  <c r="D85" i="11" s="1"/>
  <c r="I9" i="4" s="1"/>
  <c r="D80" i="11"/>
  <c r="I8" i="4" s="1"/>
  <c r="D79" i="11"/>
  <c r="D76" i="11"/>
  <c r="D67" i="11"/>
  <c r="D66" i="11"/>
  <c r="D65" i="11"/>
  <c r="D60" i="11"/>
  <c r="D53" i="11"/>
  <c r="D52" i="11"/>
  <c r="D46" i="11"/>
  <c r="I14" i="4" s="1"/>
  <c r="D37" i="11"/>
  <c r="D36" i="11"/>
  <c r="I13" i="4" s="1"/>
  <c r="D34" i="11"/>
  <c r="D29" i="11"/>
  <c r="D28" i="11"/>
  <c r="D27" i="11"/>
  <c r="D164" i="10"/>
  <c r="M162" i="10"/>
  <c r="L162" i="10"/>
  <c r="K162" i="10"/>
  <c r="J162" i="10"/>
  <c r="I162" i="10"/>
  <c r="H162" i="10"/>
  <c r="G162" i="10"/>
  <c r="F162" i="10"/>
  <c r="E162" i="10"/>
  <c r="D162" i="10"/>
  <c r="N162" i="10" s="1"/>
  <c r="M156" i="10"/>
  <c r="L156" i="10"/>
  <c r="K156" i="10"/>
  <c r="J156" i="10"/>
  <c r="I156" i="10"/>
  <c r="H156" i="10"/>
  <c r="G156" i="10"/>
  <c r="F156" i="10"/>
  <c r="E156" i="10"/>
  <c r="D156" i="10"/>
  <c r="N156" i="10" s="1"/>
  <c r="M155" i="10"/>
  <c r="L155" i="10"/>
  <c r="K155" i="10"/>
  <c r="J155" i="10"/>
  <c r="I155" i="10"/>
  <c r="H155" i="10"/>
  <c r="G155" i="10"/>
  <c r="F155" i="10"/>
  <c r="E155" i="10"/>
  <c r="D155" i="10"/>
  <c r="N155" i="10" s="1"/>
  <c r="M154" i="10"/>
  <c r="L154" i="10"/>
  <c r="K154" i="10"/>
  <c r="J154" i="10"/>
  <c r="I154" i="10"/>
  <c r="M149" i="10"/>
  <c r="L149" i="10"/>
  <c r="K149" i="10"/>
  <c r="J149" i="10"/>
  <c r="I149" i="10"/>
  <c r="H149" i="10"/>
  <c r="G149" i="10"/>
  <c r="F149" i="10"/>
  <c r="E149" i="10"/>
  <c r="D149" i="10"/>
  <c r="N149" i="10" s="1"/>
  <c r="M148" i="10"/>
  <c r="L148" i="10"/>
  <c r="K148" i="10"/>
  <c r="J148" i="10"/>
  <c r="I148" i="10"/>
  <c r="H148" i="10"/>
  <c r="G148" i="10"/>
  <c r="F148" i="10"/>
  <c r="E148" i="10"/>
  <c r="D148" i="10"/>
  <c r="N148" i="10" s="1"/>
  <c r="M147" i="10"/>
  <c r="L147" i="10"/>
  <c r="N147" i="10" s="1"/>
  <c r="K147" i="10"/>
  <c r="J147" i="10"/>
  <c r="I147" i="10"/>
  <c r="H147" i="10"/>
  <c r="G147" i="10"/>
  <c r="F147" i="10"/>
  <c r="E147" i="10"/>
  <c r="D147" i="10"/>
  <c r="M146" i="10"/>
  <c r="L146" i="10"/>
  <c r="K146" i="10"/>
  <c r="J146" i="10"/>
  <c r="I146" i="10"/>
  <c r="H146" i="10"/>
  <c r="G146" i="10"/>
  <c r="F146" i="10"/>
  <c r="E146" i="10"/>
  <c r="D146" i="10"/>
  <c r="N146" i="10" s="1"/>
  <c r="M145" i="10"/>
  <c r="L145" i="10"/>
  <c r="K145" i="10"/>
  <c r="J145" i="10"/>
  <c r="I145" i="10"/>
  <c r="H145" i="10"/>
  <c r="G145" i="10"/>
  <c r="F145" i="10"/>
  <c r="E145" i="10"/>
  <c r="D145" i="10"/>
  <c r="N145" i="10" s="1"/>
  <c r="M144" i="10"/>
  <c r="L144" i="10"/>
  <c r="K144" i="10"/>
  <c r="J144" i="10"/>
  <c r="I144" i="10"/>
  <c r="H144" i="10"/>
  <c r="G144" i="10"/>
  <c r="F144" i="10"/>
  <c r="E144" i="10"/>
  <c r="D144" i="10"/>
  <c r="N144" i="10" s="1"/>
  <c r="M137" i="10"/>
  <c r="L137" i="10"/>
  <c r="K137" i="10"/>
  <c r="J137" i="10"/>
  <c r="I137" i="10"/>
  <c r="H137" i="10"/>
  <c r="G137" i="10"/>
  <c r="F137" i="10"/>
  <c r="E137" i="10"/>
  <c r="D137" i="10"/>
  <c r="N137" i="10" s="1"/>
  <c r="N130" i="10"/>
  <c r="N129" i="10"/>
  <c r="N128" i="10"/>
  <c r="N127" i="10"/>
  <c r="N126" i="10"/>
  <c r="N125" i="10"/>
  <c r="N124" i="10"/>
  <c r="N123" i="10"/>
  <c r="N122" i="10"/>
  <c r="N121" i="10"/>
  <c r="N120" i="10"/>
  <c r="N119" i="10"/>
  <c r="N117" i="10"/>
  <c r="N116" i="10"/>
  <c r="N115" i="10"/>
  <c r="D110" i="10"/>
  <c r="D109" i="10"/>
  <c r="D98" i="10"/>
  <c r="D100" i="10" s="1"/>
  <c r="D93" i="10"/>
  <c r="D91" i="10"/>
  <c r="H12" i="4" s="1"/>
  <c r="D82" i="10"/>
  <c r="D80" i="10"/>
  <c r="H8" i="4" s="1"/>
  <c r="D79" i="10"/>
  <c r="D76" i="10"/>
  <c r="D67" i="10"/>
  <c r="D66" i="10"/>
  <c r="D65" i="10"/>
  <c r="D60" i="10"/>
  <c r="D53" i="10"/>
  <c r="D52" i="10"/>
  <c r="D46" i="10"/>
  <c r="H14" i="4" s="1"/>
  <c r="D37" i="10"/>
  <c r="D36" i="10"/>
  <c r="H13" i="4" s="1"/>
  <c r="D34" i="10"/>
  <c r="D29" i="10"/>
  <c r="D28" i="10"/>
  <c r="D27" i="10"/>
  <c r="D164" i="9"/>
  <c r="M162" i="9"/>
  <c r="L162" i="9"/>
  <c r="K162" i="9"/>
  <c r="J162" i="9"/>
  <c r="I162" i="9"/>
  <c r="H162" i="9"/>
  <c r="G162" i="9"/>
  <c r="F162" i="9"/>
  <c r="E162" i="9"/>
  <c r="D162" i="9"/>
  <c r="N162" i="9" s="1"/>
  <c r="M157" i="9"/>
  <c r="L157" i="9"/>
  <c r="K157" i="9"/>
  <c r="J157" i="9"/>
  <c r="I157" i="9"/>
  <c r="H157" i="9"/>
  <c r="G157" i="9"/>
  <c r="F157" i="9"/>
  <c r="E157" i="9"/>
  <c r="D157" i="9"/>
  <c r="N157" i="9" s="1"/>
  <c r="M156" i="9"/>
  <c r="L156" i="9"/>
  <c r="K156" i="9"/>
  <c r="J156" i="9"/>
  <c r="I156" i="9"/>
  <c r="H156" i="9"/>
  <c r="G156" i="9"/>
  <c r="F156" i="9"/>
  <c r="E156" i="9"/>
  <c r="D156" i="9"/>
  <c r="N156" i="9" s="1"/>
  <c r="M155" i="9"/>
  <c r="L155" i="9"/>
  <c r="K155" i="9"/>
  <c r="J155" i="9"/>
  <c r="I155" i="9"/>
  <c r="H155" i="9"/>
  <c r="G155" i="9"/>
  <c r="F155" i="9"/>
  <c r="E155" i="9"/>
  <c r="D155" i="9"/>
  <c r="N155" i="9" s="1"/>
  <c r="M149" i="9"/>
  <c r="L149" i="9"/>
  <c r="K149" i="9"/>
  <c r="J149" i="9"/>
  <c r="I149" i="9"/>
  <c r="H149" i="9"/>
  <c r="G149" i="9"/>
  <c r="F149" i="9"/>
  <c r="E149" i="9"/>
  <c r="D149" i="9"/>
  <c r="N149" i="9" s="1"/>
  <c r="M148" i="9"/>
  <c r="L148" i="9"/>
  <c r="K148" i="9"/>
  <c r="J148" i="9"/>
  <c r="I148" i="9"/>
  <c r="H148" i="9"/>
  <c r="G148" i="9"/>
  <c r="F148" i="9"/>
  <c r="E148" i="9"/>
  <c r="D148" i="9"/>
  <c r="N148" i="9" s="1"/>
  <c r="M147" i="9"/>
  <c r="L147" i="9"/>
  <c r="K147" i="9"/>
  <c r="J147" i="9"/>
  <c r="I147" i="9"/>
  <c r="H147" i="9"/>
  <c r="G147" i="9"/>
  <c r="F147" i="9"/>
  <c r="E147" i="9"/>
  <c r="D147" i="9"/>
  <c r="N147" i="9" s="1"/>
  <c r="M146" i="9"/>
  <c r="L146" i="9"/>
  <c r="K146" i="9"/>
  <c r="J146" i="9"/>
  <c r="I146" i="9"/>
  <c r="H146" i="9"/>
  <c r="G146" i="9"/>
  <c r="F146" i="9"/>
  <c r="E146" i="9"/>
  <c r="D146" i="9"/>
  <c r="N146" i="9" s="1"/>
  <c r="M145" i="9"/>
  <c r="L145" i="9"/>
  <c r="K145" i="9"/>
  <c r="J145" i="9"/>
  <c r="I145" i="9"/>
  <c r="H145" i="9"/>
  <c r="G145" i="9"/>
  <c r="F145" i="9"/>
  <c r="E145" i="9"/>
  <c r="D145" i="9"/>
  <c r="N145" i="9" s="1"/>
  <c r="M144" i="9"/>
  <c r="L144" i="9"/>
  <c r="K144" i="9"/>
  <c r="J144" i="9"/>
  <c r="I144" i="9"/>
  <c r="H144" i="9"/>
  <c r="G144" i="9"/>
  <c r="F144" i="9"/>
  <c r="E144" i="9"/>
  <c r="D144" i="9"/>
  <c r="N144" i="9" s="1"/>
  <c r="M137" i="9"/>
  <c r="L137" i="9"/>
  <c r="K137" i="9"/>
  <c r="J137" i="9"/>
  <c r="I137" i="9"/>
  <c r="H137" i="9"/>
  <c r="G137" i="9"/>
  <c r="F137" i="9"/>
  <c r="E137" i="9"/>
  <c r="D137" i="9"/>
  <c r="N137" i="9" s="1"/>
  <c r="N130" i="9"/>
  <c r="N129" i="9"/>
  <c r="N128" i="9"/>
  <c r="N127" i="9"/>
  <c r="N126" i="9"/>
  <c r="N125" i="9"/>
  <c r="N124" i="9"/>
  <c r="N123" i="9"/>
  <c r="N122" i="9"/>
  <c r="N121" i="9"/>
  <c r="N120" i="9"/>
  <c r="N119" i="9"/>
  <c r="N117" i="9"/>
  <c r="N116" i="9"/>
  <c r="N115" i="9"/>
  <c r="D110" i="9"/>
  <c r="D109" i="9"/>
  <c r="D98" i="9"/>
  <c r="D100" i="9" s="1"/>
  <c r="D93" i="9"/>
  <c r="D91" i="9"/>
  <c r="G12" i="4" s="1"/>
  <c r="D82" i="9"/>
  <c r="D80" i="9"/>
  <c r="G8" i="4" s="1"/>
  <c r="D79" i="9"/>
  <c r="D76" i="9"/>
  <c r="D67" i="9"/>
  <c r="D66" i="9"/>
  <c r="D65" i="9"/>
  <c r="D60" i="9"/>
  <c r="D53" i="9"/>
  <c r="D52" i="9"/>
  <c r="D37" i="9"/>
  <c r="D34" i="9"/>
  <c r="D36" i="9" s="1"/>
  <c r="G13" i="4" s="1"/>
  <c r="D29" i="9"/>
  <c r="D28" i="9"/>
  <c r="D27" i="9"/>
  <c r="D164" i="8"/>
  <c r="N162" i="8"/>
  <c r="M162" i="8"/>
  <c r="L162" i="8"/>
  <c r="K162" i="8"/>
  <c r="J162" i="8"/>
  <c r="I162" i="8"/>
  <c r="H162" i="8"/>
  <c r="G162" i="8"/>
  <c r="F162" i="8"/>
  <c r="E162" i="8"/>
  <c r="D162" i="8"/>
  <c r="M157" i="8"/>
  <c r="L157" i="8"/>
  <c r="K157" i="8"/>
  <c r="J157" i="8"/>
  <c r="I157" i="8"/>
  <c r="H157" i="8"/>
  <c r="G157" i="8"/>
  <c r="F157" i="8"/>
  <c r="E157" i="8"/>
  <c r="D157" i="8"/>
  <c r="N157" i="8" s="1"/>
  <c r="M156" i="8"/>
  <c r="L156" i="8"/>
  <c r="K156" i="8"/>
  <c r="J156" i="8"/>
  <c r="I156" i="8"/>
  <c r="H156" i="8"/>
  <c r="G156" i="8"/>
  <c r="F156" i="8"/>
  <c r="E156" i="8"/>
  <c r="D156" i="8"/>
  <c r="N156" i="8" s="1"/>
  <c r="M155" i="8"/>
  <c r="L155" i="8"/>
  <c r="K155" i="8"/>
  <c r="J155" i="8"/>
  <c r="I155" i="8"/>
  <c r="H155" i="8"/>
  <c r="G155" i="8"/>
  <c r="F155" i="8"/>
  <c r="E155" i="8"/>
  <c r="D155" i="8"/>
  <c r="N155" i="8" s="1"/>
  <c r="M149" i="8"/>
  <c r="L149" i="8"/>
  <c r="K149" i="8"/>
  <c r="J149" i="8"/>
  <c r="I149" i="8"/>
  <c r="H149" i="8"/>
  <c r="G149" i="8"/>
  <c r="F149" i="8"/>
  <c r="E149" i="8"/>
  <c r="D149" i="8"/>
  <c r="N149" i="8" s="1"/>
  <c r="M148" i="8"/>
  <c r="L148" i="8"/>
  <c r="K148" i="8"/>
  <c r="J148" i="8"/>
  <c r="I148" i="8"/>
  <c r="H148" i="8"/>
  <c r="G148" i="8"/>
  <c r="F148" i="8"/>
  <c r="E148" i="8"/>
  <c r="D148" i="8"/>
  <c r="N148" i="8" s="1"/>
  <c r="M147" i="8"/>
  <c r="L147" i="8"/>
  <c r="K147" i="8"/>
  <c r="J147" i="8"/>
  <c r="I147" i="8"/>
  <c r="H147" i="8"/>
  <c r="G147" i="8"/>
  <c r="F147" i="8"/>
  <c r="E147" i="8"/>
  <c r="D147" i="8"/>
  <c r="N147" i="8" s="1"/>
  <c r="M146" i="8"/>
  <c r="L146" i="8"/>
  <c r="K146" i="8"/>
  <c r="J146" i="8"/>
  <c r="I146" i="8"/>
  <c r="H146" i="8"/>
  <c r="G146" i="8"/>
  <c r="F146" i="8"/>
  <c r="E146" i="8"/>
  <c r="D146" i="8"/>
  <c r="N146" i="8" s="1"/>
  <c r="M145" i="8"/>
  <c r="L145" i="8"/>
  <c r="K145" i="8"/>
  <c r="J145" i="8"/>
  <c r="I145" i="8"/>
  <c r="H145" i="8"/>
  <c r="G145" i="8"/>
  <c r="F145" i="8"/>
  <c r="E145" i="8"/>
  <c r="D145" i="8"/>
  <c r="N145" i="8" s="1"/>
  <c r="M144" i="8"/>
  <c r="L144" i="8"/>
  <c r="K144" i="8"/>
  <c r="J144" i="8"/>
  <c r="I144" i="8"/>
  <c r="H144" i="8"/>
  <c r="G144" i="8"/>
  <c r="F144" i="8"/>
  <c r="E144" i="8"/>
  <c r="D144" i="8"/>
  <c r="N144" i="8" s="1"/>
  <c r="M137" i="8"/>
  <c r="L137" i="8"/>
  <c r="K137" i="8"/>
  <c r="J137" i="8"/>
  <c r="I137" i="8"/>
  <c r="H137" i="8"/>
  <c r="G137" i="8"/>
  <c r="F137" i="8"/>
  <c r="E137" i="8"/>
  <c r="D137" i="8"/>
  <c r="N137" i="8" s="1"/>
  <c r="N130" i="8"/>
  <c r="N129" i="8"/>
  <c r="N128" i="8"/>
  <c r="N127" i="8"/>
  <c r="N126" i="8"/>
  <c r="N125" i="8"/>
  <c r="N124" i="8"/>
  <c r="N123" i="8"/>
  <c r="N122" i="8"/>
  <c r="N121" i="8"/>
  <c r="N120" i="8"/>
  <c r="N119" i="8"/>
  <c r="N117" i="8"/>
  <c r="N116" i="8"/>
  <c r="N115" i="8"/>
  <c r="D110" i="8"/>
  <c r="D109" i="8"/>
  <c r="D98" i="8"/>
  <c r="D100" i="8" s="1"/>
  <c r="D93" i="8"/>
  <c r="D91" i="8"/>
  <c r="F12" i="4" s="1"/>
  <c r="D82" i="8"/>
  <c r="D80" i="8"/>
  <c r="F8" i="4" s="1"/>
  <c r="D79" i="8"/>
  <c r="D76" i="8"/>
  <c r="D67" i="8"/>
  <c r="D66" i="8"/>
  <c r="D65" i="8"/>
  <c r="D60" i="8"/>
  <c r="D53" i="8"/>
  <c r="D52" i="8"/>
  <c r="D43" i="8"/>
  <c r="D42" i="8"/>
  <c r="D37" i="8"/>
  <c r="D34" i="8"/>
  <c r="D36" i="8" s="1"/>
  <c r="F13" i="4" s="1"/>
  <c r="D29" i="8"/>
  <c r="D28" i="8"/>
  <c r="D27" i="8"/>
  <c r="D164" i="7"/>
  <c r="M162" i="7"/>
  <c r="L162" i="7"/>
  <c r="K162" i="7"/>
  <c r="J162" i="7"/>
  <c r="I162" i="7"/>
  <c r="H162" i="7"/>
  <c r="G162" i="7"/>
  <c r="F162" i="7"/>
  <c r="E162" i="7"/>
  <c r="D162" i="7"/>
  <c r="N162" i="7" s="1"/>
  <c r="M157" i="7"/>
  <c r="L157" i="7"/>
  <c r="K157" i="7"/>
  <c r="J157" i="7"/>
  <c r="I157" i="7"/>
  <c r="H157" i="7"/>
  <c r="G157" i="7"/>
  <c r="F157" i="7"/>
  <c r="E157" i="7"/>
  <c r="D157" i="7"/>
  <c r="N157" i="7" s="1"/>
  <c r="M156" i="7"/>
  <c r="L156" i="7"/>
  <c r="K156" i="7"/>
  <c r="J156" i="7"/>
  <c r="I156" i="7"/>
  <c r="H156" i="7"/>
  <c r="N156" i="7" s="1"/>
  <c r="G156" i="7"/>
  <c r="F156" i="7"/>
  <c r="E156" i="7"/>
  <c r="D156" i="7"/>
  <c r="M155" i="7"/>
  <c r="L155" i="7"/>
  <c r="K155" i="7"/>
  <c r="J155" i="7"/>
  <c r="I155" i="7"/>
  <c r="H155" i="7"/>
  <c r="G155" i="7"/>
  <c r="F155" i="7"/>
  <c r="E155" i="7"/>
  <c r="D155" i="7"/>
  <c r="N155" i="7" s="1"/>
  <c r="M149" i="7"/>
  <c r="L149" i="7"/>
  <c r="K149" i="7"/>
  <c r="J149" i="7"/>
  <c r="I149" i="7"/>
  <c r="H149" i="7"/>
  <c r="G149" i="7"/>
  <c r="F149" i="7"/>
  <c r="E149" i="7"/>
  <c r="D149" i="7"/>
  <c r="N149" i="7" s="1"/>
  <c r="M148" i="7"/>
  <c r="L148" i="7"/>
  <c r="K148" i="7"/>
  <c r="J148" i="7"/>
  <c r="I148" i="7"/>
  <c r="H148" i="7"/>
  <c r="G148" i="7"/>
  <c r="F148" i="7"/>
  <c r="E148" i="7"/>
  <c r="D148" i="7"/>
  <c r="N148" i="7" s="1"/>
  <c r="M147" i="7"/>
  <c r="L147" i="7"/>
  <c r="K147" i="7"/>
  <c r="J147" i="7"/>
  <c r="I147" i="7"/>
  <c r="H147" i="7"/>
  <c r="G147" i="7"/>
  <c r="F147" i="7"/>
  <c r="E147" i="7"/>
  <c r="D147" i="7"/>
  <c r="N147" i="7" s="1"/>
  <c r="M146" i="7"/>
  <c r="L146" i="7"/>
  <c r="K146" i="7"/>
  <c r="J146" i="7"/>
  <c r="I146" i="7"/>
  <c r="H146" i="7"/>
  <c r="G146" i="7"/>
  <c r="F146" i="7"/>
  <c r="E146" i="7"/>
  <c r="D146" i="7"/>
  <c r="N146" i="7" s="1"/>
  <c r="M145" i="7"/>
  <c r="L145" i="7"/>
  <c r="K145" i="7"/>
  <c r="J145" i="7"/>
  <c r="I145" i="7"/>
  <c r="H145" i="7"/>
  <c r="G145" i="7"/>
  <c r="F145" i="7"/>
  <c r="E145" i="7"/>
  <c r="D145" i="7"/>
  <c r="N145" i="7" s="1"/>
  <c r="M144" i="7"/>
  <c r="L144" i="7"/>
  <c r="K144" i="7"/>
  <c r="J144" i="7"/>
  <c r="I144" i="7"/>
  <c r="H144" i="7"/>
  <c r="G144" i="7"/>
  <c r="F144" i="7"/>
  <c r="E144" i="7"/>
  <c r="D144" i="7"/>
  <c r="N144" i="7" s="1"/>
  <c r="M143" i="7"/>
  <c r="M150" i="7" s="1"/>
  <c r="L143" i="7"/>
  <c r="L150" i="7" s="1"/>
  <c r="K143" i="7"/>
  <c r="K150" i="7" s="1"/>
  <c r="J143" i="7"/>
  <c r="J150" i="7" s="1"/>
  <c r="I143" i="7"/>
  <c r="I150" i="7" s="1"/>
  <c r="H143" i="7"/>
  <c r="H150" i="7" s="1"/>
  <c r="G143" i="7"/>
  <c r="G150" i="7" s="1"/>
  <c r="F143" i="7"/>
  <c r="F150" i="7" s="1"/>
  <c r="E143" i="7"/>
  <c r="E150" i="7" s="1"/>
  <c r="D143" i="7"/>
  <c r="M137" i="7"/>
  <c r="L137" i="7"/>
  <c r="K137" i="7"/>
  <c r="J137" i="7"/>
  <c r="I137" i="7"/>
  <c r="H137" i="7"/>
  <c r="G137" i="7"/>
  <c r="F137" i="7"/>
  <c r="E137" i="7"/>
  <c r="D137" i="7"/>
  <c r="N137" i="7" s="1"/>
  <c r="M132" i="7"/>
  <c r="L132" i="7"/>
  <c r="K132" i="7"/>
  <c r="J132" i="7"/>
  <c r="I132" i="7"/>
  <c r="H132" i="7"/>
  <c r="G132" i="7"/>
  <c r="F132" i="7"/>
  <c r="E132" i="7"/>
  <c r="D132" i="7"/>
  <c r="N130" i="7"/>
  <c r="N129" i="7"/>
  <c r="N128" i="7"/>
  <c r="N127" i="7"/>
  <c r="N126" i="7"/>
  <c r="N125" i="7"/>
  <c r="N124" i="7"/>
  <c r="N123" i="7"/>
  <c r="N122" i="7"/>
  <c r="N121" i="7"/>
  <c r="N120" i="7"/>
  <c r="N119" i="7"/>
  <c r="N117" i="7"/>
  <c r="N116" i="7"/>
  <c r="N115" i="7"/>
  <c r="D110" i="7"/>
  <c r="D109" i="7"/>
  <c r="D98" i="7"/>
  <c r="D100" i="7" s="1"/>
  <c r="D93" i="7"/>
  <c r="D91" i="7"/>
  <c r="E12" i="4" s="1"/>
  <c r="D82" i="7"/>
  <c r="D80" i="7"/>
  <c r="E8" i="4" s="1"/>
  <c r="D79" i="7"/>
  <c r="D76" i="7"/>
  <c r="D67" i="7"/>
  <c r="D66" i="7"/>
  <c r="D65" i="7"/>
  <c r="D60" i="7"/>
  <c r="D53" i="7"/>
  <c r="D52" i="7"/>
  <c r="D37" i="7"/>
  <c r="D36" i="7"/>
  <c r="E13" i="4" s="1"/>
  <c r="D34" i="7"/>
  <c r="D29" i="7"/>
  <c r="D28" i="7"/>
  <c r="D27" i="7"/>
  <c r="E10" i="4" s="1"/>
  <c r="D164" i="6"/>
  <c r="M162" i="6"/>
  <c r="L162" i="6"/>
  <c r="K162" i="6"/>
  <c r="J162" i="6"/>
  <c r="I162" i="6"/>
  <c r="H162" i="6"/>
  <c r="G162" i="6"/>
  <c r="F162" i="6"/>
  <c r="E162" i="6"/>
  <c r="D162" i="6"/>
  <c r="N162" i="6" s="1"/>
  <c r="M157" i="6"/>
  <c r="L157" i="6"/>
  <c r="K157" i="6"/>
  <c r="J157" i="6"/>
  <c r="I157" i="6"/>
  <c r="H157" i="6"/>
  <c r="G157" i="6"/>
  <c r="F157" i="6"/>
  <c r="E157" i="6"/>
  <c r="D157" i="6"/>
  <c r="N157" i="6" s="1"/>
  <c r="M156" i="6"/>
  <c r="L156" i="6"/>
  <c r="K156" i="6"/>
  <c r="J156" i="6"/>
  <c r="I156" i="6"/>
  <c r="H156" i="6"/>
  <c r="G156" i="6"/>
  <c r="F156" i="6"/>
  <c r="E156" i="6"/>
  <c r="D156" i="6"/>
  <c r="N156" i="6" s="1"/>
  <c r="M155" i="6"/>
  <c r="L155" i="6"/>
  <c r="K155" i="6"/>
  <c r="J155" i="6"/>
  <c r="I155" i="6"/>
  <c r="H155" i="6"/>
  <c r="G155" i="6"/>
  <c r="F155" i="6"/>
  <c r="E155" i="6"/>
  <c r="D155" i="6"/>
  <c r="N155" i="6" s="1"/>
  <c r="M154" i="6"/>
  <c r="M158" i="6" s="1"/>
  <c r="M159" i="6" s="1"/>
  <c r="L154" i="6"/>
  <c r="L158" i="6" s="1"/>
  <c r="L159" i="6" s="1"/>
  <c r="K154" i="6"/>
  <c r="K158" i="6" s="1"/>
  <c r="K159" i="6" s="1"/>
  <c r="J154" i="6"/>
  <c r="J158" i="6" s="1"/>
  <c r="J159" i="6" s="1"/>
  <c r="I154" i="6"/>
  <c r="I158" i="6" s="1"/>
  <c r="I159" i="6" s="1"/>
  <c r="M149" i="6"/>
  <c r="L149" i="6"/>
  <c r="K149" i="6"/>
  <c r="J149" i="6"/>
  <c r="I149" i="6"/>
  <c r="N149" i="6" s="1"/>
  <c r="H149" i="6"/>
  <c r="G149" i="6"/>
  <c r="F149" i="6"/>
  <c r="E149" i="6"/>
  <c r="D149" i="6"/>
  <c r="M148" i="6"/>
  <c r="L148" i="6"/>
  <c r="K148" i="6"/>
  <c r="J148" i="6"/>
  <c r="I148" i="6"/>
  <c r="H148" i="6"/>
  <c r="G148" i="6"/>
  <c r="F148" i="6"/>
  <c r="E148" i="6"/>
  <c r="D148" i="6"/>
  <c r="N148" i="6" s="1"/>
  <c r="M147" i="6"/>
  <c r="L147" i="6"/>
  <c r="K147" i="6"/>
  <c r="J147" i="6"/>
  <c r="I147" i="6"/>
  <c r="H147" i="6"/>
  <c r="G147" i="6"/>
  <c r="F147" i="6"/>
  <c r="E147" i="6"/>
  <c r="D147" i="6"/>
  <c r="N147" i="6" s="1"/>
  <c r="M146" i="6"/>
  <c r="L146" i="6"/>
  <c r="K146" i="6"/>
  <c r="J146" i="6"/>
  <c r="I146" i="6"/>
  <c r="H146" i="6"/>
  <c r="G146" i="6"/>
  <c r="F146" i="6"/>
  <c r="E146" i="6"/>
  <c r="D146" i="6"/>
  <c r="N146" i="6" s="1"/>
  <c r="M145" i="6"/>
  <c r="L145" i="6"/>
  <c r="K145" i="6"/>
  <c r="J145" i="6"/>
  <c r="I145" i="6"/>
  <c r="H145" i="6"/>
  <c r="G145" i="6"/>
  <c r="F145" i="6"/>
  <c r="E145" i="6"/>
  <c r="D145" i="6"/>
  <c r="N145" i="6" s="1"/>
  <c r="M144" i="6"/>
  <c r="L144" i="6"/>
  <c r="K144" i="6"/>
  <c r="J144" i="6"/>
  <c r="I144" i="6"/>
  <c r="H144" i="6"/>
  <c r="G144" i="6"/>
  <c r="F144" i="6"/>
  <c r="E144" i="6"/>
  <c r="D144" i="6"/>
  <c r="N144" i="6" s="1"/>
  <c r="N130" i="6"/>
  <c r="N129" i="6"/>
  <c r="N128" i="6"/>
  <c r="N127" i="6"/>
  <c r="N126" i="6"/>
  <c r="N125" i="6"/>
  <c r="N124" i="6"/>
  <c r="N123" i="6"/>
  <c r="N122" i="6"/>
  <c r="N121" i="6"/>
  <c r="N120" i="6"/>
  <c r="N119" i="6"/>
  <c r="N117" i="6"/>
  <c r="N116" i="6"/>
  <c r="N115" i="6"/>
  <c r="D110" i="6"/>
  <c r="D109" i="6"/>
  <c r="D98" i="6"/>
  <c r="D100" i="6" s="1"/>
  <c r="C14" i="15" s="1"/>
  <c r="E14" i="15" s="1"/>
  <c r="D93" i="6"/>
  <c r="D91" i="6"/>
  <c r="D12" i="4" s="1"/>
  <c r="D82" i="6"/>
  <c r="D80" i="6"/>
  <c r="D8" i="4" s="1"/>
  <c r="D79" i="6"/>
  <c r="D76" i="6"/>
  <c r="D67" i="6"/>
  <c r="D66" i="6"/>
  <c r="D65" i="6"/>
  <c r="D60" i="6"/>
  <c r="D53" i="6"/>
  <c r="D52" i="6"/>
  <c r="D46" i="6"/>
  <c r="D14" i="4" s="1"/>
  <c r="D37" i="6"/>
  <c r="D36" i="6"/>
  <c r="D13" i="4" s="1"/>
  <c r="D34" i="6"/>
  <c r="D29" i="6"/>
  <c r="D28" i="6"/>
  <c r="D27" i="6"/>
  <c r="D164" i="5"/>
  <c r="M162" i="5"/>
  <c r="L162" i="5"/>
  <c r="K162" i="5"/>
  <c r="J162" i="5"/>
  <c r="I162" i="5"/>
  <c r="H162" i="5"/>
  <c r="G162" i="5"/>
  <c r="F162" i="5"/>
  <c r="E162" i="5"/>
  <c r="D162" i="5"/>
  <c r="N162" i="5" s="1"/>
  <c r="M157" i="5"/>
  <c r="L157" i="5"/>
  <c r="K157" i="5"/>
  <c r="J157" i="5"/>
  <c r="I157" i="5"/>
  <c r="H157" i="5"/>
  <c r="G157" i="5"/>
  <c r="F157" i="5"/>
  <c r="E157" i="5"/>
  <c r="D157" i="5"/>
  <c r="N157" i="5" s="1"/>
  <c r="M156" i="5"/>
  <c r="L156" i="5"/>
  <c r="K156" i="5"/>
  <c r="J156" i="5"/>
  <c r="I156" i="5"/>
  <c r="H156" i="5"/>
  <c r="G156" i="5"/>
  <c r="F156" i="5"/>
  <c r="E156" i="5"/>
  <c r="D156" i="5"/>
  <c r="N156" i="5" s="1"/>
  <c r="M155" i="5"/>
  <c r="L155" i="5"/>
  <c r="K155" i="5"/>
  <c r="J155" i="5"/>
  <c r="I155" i="5"/>
  <c r="H155" i="5"/>
  <c r="G155" i="5"/>
  <c r="F155" i="5"/>
  <c r="E155" i="5"/>
  <c r="D155" i="5"/>
  <c r="N155" i="5" s="1"/>
  <c r="M154" i="5"/>
  <c r="M158" i="5" s="1"/>
  <c r="M159" i="5" s="1"/>
  <c r="L154" i="5"/>
  <c r="L158" i="5" s="1"/>
  <c r="L159" i="5" s="1"/>
  <c r="K154" i="5"/>
  <c r="K158" i="5" s="1"/>
  <c r="K159" i="5" s="1"/>
  <c r="J154" i="5"/>
  <c r="J158" i="5" s="1"/>
  <c r="J159" i="5" s="1"/>
  <c r="I154" i="5"/>
  <c r="I158" i="5" s="1"/>
  <c r="I159" i="5" s="1"/>
  <c r="M149" i="5"/>
  <c r="L149" i="5"/>
  <c r="K149" i="5"/>
  <c r="J149" i="5"/>
  <c r="I149" i="5"/>
  <c r="H149" i="5"/>
  <c r="G149" i="5"/>
  <c r="F149" i="5"/>
  <c r="E149" i="5"/>
  <c r="D149" i="5"/>
  <c r="N149" i="5" s="1"/>
  <c r="M148" i="5"/>
  <c r="L148" i="5"/>
  <c r="K148" i="5"/>
  <c r="J148" i="5"/>
  <c r="I148" i="5"/>
  <c r="H148" i="5"/>
  <c r="G148" i="5"/>
  <c r="F148" i="5"/>
  <c r="E148" i="5"/>
  <c r="D148" i="5"/>
  <c r="N148" i="5" s="1"/>
  <c r="M147" i="5"/>
  <c r="L147" i="5"/>
  <c r="K147" i="5"/>
  <c r="J147" i="5"/>
  <c r="I147" i="5"/>
  <c r="H147" i="5"/>
  <c r="G147" i="5"/>
  <c r="F147" i="5"/>
  <c r="E147" i="5"/>
  <c r="D147" i="5"/>
  <c r="N147" i="5" s="1"/>
  <c r="M146" i="5"/>
  <c r="L146" i="5"/>
  <c r="K146" i="5"/>
  <c r="J146" i="5"/>
  <c r="I146" i="5"/>
  <c r="H146" i="5"/>
  <c r="G146" i="5"/>
  <c r="F146" i="5"/>
  <c r="E146" i="5"/>
  <c r="D146" i="5"/>
  <c r="N146" i="5" s="1"/>
  <c r="M145" i="5"/>
  <c r="L145" i="5"/>
  <c r="K145" i="5"/>
  <c r="J145" i="5"/>
  <c r="I145" i="5"/>
  <c r="H145" i="5"/>
  <c r="G145" i="5"/>
  <c r="F145" i="5"/>
  <c r="E145" i="5"/>
  <c r="D145" i="5"/>
  <c r="N145" i="5" s="1"/>
  <c r="M144" i="5"/>
  <c r="L144" i="5"/>
  <c r="K144" i="5"/>
  <c r="J144" i="5"/>
  <c r="N144" i="5" s="1"/>
  <c r="I144" i="5"/>
  <c r="H144" i="5"/>
  <c r="G144" i="5"/>
  <c r="F144" i="5"/>
  <c r="E144" i="5"/>
  <c r="D144" i="5"/>
  <c r="N130" i="5"/>
  <c r="N129" i="5"/>
  <c r="N128" i="5"/>
  <c r="N127" i="5"/>
  <c r="N126" i="5"/>
  <c r="N125" i="5"/>
  <c r="N124" i="5"/>
  <c r="N123" i="5"/>
  <c r="N122" i="5"/>
  <c r="N121" i="5"/>
  <c r="N120" i="5"/>
  <c r="N119" i="5"/>
  <c r="N117" i="5"/>
  <c r="N116" i="5"/>
  <c r="N115" i="5"/>
  <c r="D110" i="5"/>
  <c r="D109" i="5"/>
  <c r="D98" i="5"/>
  <c r="D100" i="5" s="1"/>
  <c r="D93" i="5"/>
  <c r="D91" i="5"/>
  <c r="C12" i="4" s="1"/>
  <c r="D82" i="5"/>
  <c r="D79" i="5"/>
  <c r="D80" i="5" s="1"/>
  <c r="C8" i="4" s="1"/>
  <c r="D76" i="5"/>
  <c r="D67" i="5"/>
  <c r="D66" i="5"/>
  <c r="D65" i="5"/>
  <c r="D60" i="5"/>
  <c r="D53" i="5"/>
  <c r="D52" i="5"/>
  <c r="D46" i="5"/>
  <c r="C14" i="4" s="1"/>
  <c r="D37" i="5"/>
  <c r="D36" i="5"/>
  <c r="C13" i="4" s="1"/>
  <c r="D34" i="5"/>
  <c r="D29" i="5"/>
  <c r="D28" i="5"/>
  <c r="D27" i="5"/>
  <c r="J7" i="4"/>
  <c r="I7" i="4"/>
  <c r="H7" i="4"/>
  <c r="G7" i="4"/>
  <c r="F7" i="4"/>
  <c r="E7" i="4"/>
  <c r="D7" i="4"/>
  <c r="C7" i="4"/>
  <c r="J6" i="4"/>
  <c r="I6" i="4"/>
  <c r="H6" i="4"/>
  <c r="G6" i="4"/>
  <c r="F6" i="4"/>
  <c r="E6" i="4"/>
  <c r="D6" i="4"/>
  <c r="C6" i="4"/>
  <c r="J5" i="4"/>
  <c r="I5" i="4"/>
  <c r="H5" i="4"/>
  <c r="G5" i="4"/>
  <c r="F5" i="4"/>
  <c r="E5" i="4"/>
  <c r="D5" i="4"/>
  <c r="C5" i="4"/>
  <c r="C10" i="14" l="1"/>
  <c r="C13" i="14"/>
  <c r="C14" i="14" s="1"/>
  <c r="M154" i="12"/>
  <c r="M158" i="12" s="1"/>
  <c r="M159" i="12" s="1"/>
  <c r="L154" i="12"/>
  <c r="L158" i="12" s="1"/>
  <c r="L159" i="12" s="1"/>
  <c r="K154" i="12"/>
  <c r="K158" i="12" s="1"/>
  <c r="K159" i="12" s="1"/>
  <c r="I154" i="12"/>
  <c r="I158" i="12" s="1"/>
  <c r="I159" i="12" s="1"/>
  <c r="H154" i="12"/>
  <c r="H158" i="12" s="1"/>
  <c r="H159" i="12" s="1"/>
  <c r="G154" i="12"/>
  <c r="G158" i="12" s="1"/>
  <c r="G159" i="12" s="1"/>
  <c r="F154" i="12"/>
  <c r="F158" i="12" s="1"/>
  <c r="F159" i="12" s="1"/>
  <c r="E154" i="12"/>
  <c r="E158" i="12" s="1"/>
  <c r="E159" i="12" s="1"/>
  <c r="D154" i="12"/>
  <c r="J154" i="12"/>
  <c r="J158" i="12" s="1"/>
  <c r="J159" i="12" s="1"/>
  <c r="J29" i="4"/>
  <c r="J30" i="4"/>
  <c r="J31" i="4"/>
  <c r="L135" i="12"/>
  <c r="L136" i="12" s="1"/>
  <c r="L139" i="12" s="1"/>
  <c r="L140" i="12" s="1"/>
  <c r="K135" i="12"/>
  <c r="K136" i="12" s="1"/>
  <c r="K139" i="12" s="1"/>
  <c r="K140" i="12" s="1"/>
  <c r="J135" i="12"/>
  <c r="J136" i="12" s="1"/>
  <c r="J139" i="12" s="1"/>
  <c r="J140" i="12" s="1"/>
  <c r="G135" i="12"/>
  <c r="G136" i="12" s="1"/>
  <c r="G139" i="12" s="1"/>
  <c r="G140" i="12" s="1"/>
  <c r="F135" i="12"/>
  <c r="F136" i="12" s="1"/>
  <c r="F139" i="12" s="1"/>
  <c r="F140" i="12" s="1"/>
  <c r="E135" i="12"/>
  <c r="E136" i="12" s="1"/>
  <c r="E139" i="12" s="1"/>
  <c r="E140" i="12" s="1"/>
  <c r="D135" i="12"/>
  <c r="D136" i="12" s="1"/>
  <c r="I135" i="12"/>
  <c r="I136" i="12" s="1"/>
  <c r="I139" i="12" s="1"/>
  <c r="I140" i="12" s="1"/>
  <c r="H135" i="12"/>
  <c r="H136" i="12" s="1"/>
  <c r="H139" i="12" s="1"/>
  <c r="H140" i="12" s="1"/>
  <c r="M135" i="12"/>
  <c r="M136" i="12" s="1"/>
  <c r="M139" i="12" s="1"/>
  <c r="M140" i="12" s="1"/>
  <c r="G138" i="12"/>
  <c r="I138" i="12"/>
  <c r="H138" i="12"/>
  <c r="J138" i="12"/>
  <c r="L138" i="12"/>
  <c r="M138" i="12"/>
  <c r="K138" i="12"/>
  <c r="D138" i="12"/>
  <c r="D18" i="12" s="1"/>
  <c r="E138" i="12"/>
  <c r="F138" i="12"/>
  <c r="M143" i="12"/>
  <c r="M150" i="12" s="1"/>
  <c r="L143" i="12"/>
  <c r="L150" i="12" s="1"/>
  <c r="K143" i="12"/>
  <c r="K150" i="12" s="1"/>
  <c r="J143" i="12"/>
  <c r="J150" i="12" s="1"/>
  <c r="D143" i="12"/>
  <c r="E143" i="12"/>
  <c r="E150" i="12" s="1"/>
  <c r="F143" i="12"/>
  <c r="F150" i="12" s="1"/>
  <c r="G143" i="12"/>
  <c r="G150" i="12" s="1"/>
  <c r="H143" i="12"/>
  <c r="H150" i="12" s="1"/>
  <c r="I143" i="12"/>
  <c r="I150" i="12" s="1"/>
  <c r="M132" i="12"/>
  <c r="L132" i="12"/>
  <c r="H132" i="12"/>
  <c r="I132" i="12"/>
  <c r="J132" i="12"/>
  <c r="D132" i="12"/>
  <c r="K132" i="12"/>
  <c r="E132" i="12"/>
  <c r="G132" i="12"/>
  <c r="F132" i="12"/>
  <c r="D86" i="12"/>
  <c r="J10" i="4"/>
  <c r="J154" i="11"/>
  <c r="J158" i="11" s="1"/>
  <c r="J159" i="11" s="1"/>
  <c r="I154" i="11"/>
  <c r="I158" i="11" s="1"/>
  <c r="I159" i="11" s="1"/>
  <c r="I29" i="4"/>
  <c r="I30" i="4"/>
  <c r="I31" i="4"/>
  <c r="D135" i="11"/>
  <c r="D136" i="11" s="1"/>
  <c r="E135" i="11"/>
  <c r="E136" i="11" s="1"/>
  <c r="F135" i="11"/>
  <c r="F136" i="11" s="1"/>
  <c r="G135" i="11"/>
  <c r="G136" i="11" s="1"/>
  <c r="H135" i="11"/>
  <c r="H136" i="11" s="1"/>
  <c r="I135" i="11"/>
  <c r="I136" i="11" s="1"/>
  <c r="I139" i="11" s="1"/>
  <c r="I140" i="11" s="1"/>
  <c r="J135" i="11"/>
  <c r="J136" i="11" s="1"/>
  <c r="J139" i="11" s="1"/>
  <c r="J140" i="11" s="1"/>
  <c r="M135" i="11"/>
  <c r="M136" i="11" s="1"/>
  <c r="M139" i="11" s="1"/>
  <c r="M140" i="11" s="1"/>
  <c r="L135" i="11"/>
  <c r="L136" i="11" s="1"/>
  <c r="L139" i="11" s="1"/>
  <c r="L140" i="11" s="1"/>
  <c r="K135" i="11"/>
  <c r="K136" i="11" s="1"/>
  <c r="K139" i="11" s="1"/>
  <c r="K140" i="11" s="1"/>
  <c r="M138" i="11"/>
  <c r="L138" i="11"/>
  <c r="K138" i="11"/>
  <c r="J138" i="11"/>
  <c r="I138" i="11"/>
  <c r="E143" i="11"/>
  <c r="E150" i="11" s="1"/>
  <c r="F143" i="11"/>
  <c r="F150" i="11" s="1"/>
  <c r="G143" i="11"/>
  <c r="G150" i="11" s="1"/>
  <c r="H143" i="11"/>
  <c r="H150" i="11" s="1"/>
  <c r="I143" i="11"/>
  <c r="I150" i="11" s="1"/>
  <c r="L143" i="11"/>
  <c r="L150" i="11" s="1"/>
  <c r="M143" i="11"/>
  <c r="M150" i="11" s="1"/>
  <c r="D143" i="11"/>
  <c r="J143" i="11"/>
  <c r="J150" i="11" s="1"/>
  <c r="K143" i="11"/>
  <c r="K150" i="11" s="1"/>
  <c r="M132" i="11"/>
  <c r="L132" i="11"/>
  <c r="K132" i="11"/>
  <c r="J132" i="11"/>
  <c r="I132" i="11"/>
  <c r="H132" i="11"/>
  <c r="G132" i="11"/>
  <c r="F132" i="11"/>
  <c r="E132" i="11"/>
  <c r="D132" i="11"/>
  <c r="I10" i="4"/>
  <c r="D86" i="11"/>
  <c r="D85" i="10"/>
  <c r="D83" i="10"/>
  <c r="M135" i="10"/>
  <c r="M136" i="10" s="1"/>
  <c r="M139" i="10" s="1"/>
  <c r="L135" i="10"/>
  <c r="L136" i="10" s="1"/>
  <c r="L139" i="10" s="1"/>
  <c r="K135" i="10"/>
  <c r="K136" i="10" s="1"/>
  <c r="K139" i="10" s="1"/>
  <c r="J135" i="10"/>
  <c r="J136" i="10" s="1"/>
  <c r="J139" i="10" s="1"/>
  <c r="I135" i="10"/>
  <c r="I136" i="10" s="1"/>
  <c r="I139" i="10" s="1"/>
  <c r="H135" i="10"/>
  <c r="H136" i="10" s="1"/>
  <c r="G135" i="10"/>
  <c r="G136" i="10" s="1"/>
  <c r="F135" i="10"/>
  <c r="F136" i="10" s="1"/>
  <c r="D135" i="10"/>
  <c r="D136" i="10" s="1"/>
  <c r="E135" i="10"/>
  <c r="E136" i="10" s="1"/>
  <c r="D157" i="10"/>
  <c r="F157" i="10"/>
  <c r="K157" i="10"/>
  <c r="K158" i="10" s="1"/>
  <c r="K159" i="10" s="1"/>
  <c r="G157" i="10"/>
  <c r="H157" i="10"/>
  <c r="I157" i="10"/>
  <c r="I158" i="10" s="1"/>
  <c r="I159" i="10" s="1"/>
  <c r="E157" i="10"/>
  <c r="J157" i="10"/>
  <c r="J158" i="10" s="1"/>
  <c r="J159" i="10" s="1"/>
  <c r="L157" i="10"/>
  <c r="L158" i="10" s="1"/>
  <c r="L159" i="10" s="1"/>
  <c r="M157" i="10"/>
  <c r="M158" i="10" s="1"/>
  <c r="M159" i="10" s="1"/>
  <c r="J138" i="10"/>
  <c r="K138" i="10"/>
  <c r="M138" i="10"/>
  <c r="L138" i="10"/>
  <c r="E138" i="10"/>
  <c r="I138" i="10"/>
  <c r="H138" i="10"/>
  <c r="G138" i="10"/>
  <c r="F138" i="10"/>
  <c r="D138" i="10"/>
  <c r="M143" i="10"/>
  <c r="M150" i="10" s="1"/>
  <c r="L143" i="10"/>
  <c r="L150" i="10" s="1"/>
  <c r="D143" i="10"/>
  <c r="E143" i="10"/>
  <c r="E150" i="10" s="1"/>
  <c r="F143" i="10"/>
  <c r="F150" i="10" s="1"/>
  <c r="G143" i="10"/>
  <c r="G150" i="10" s="1"/>
  <c r="H143" i="10"/>
  <c r="H150" i="10" s="1"/>
  <c r="I143" i="10"/>
  <c r="I150" i="10" s="1"/>
  <c r="J143" i="10"/>
  <c r="J150" i="10" s="1"/>
  <c r="K143" i="10"/>
  <c r="K150" i="10" s="1"/>
  <c r="H132" i="10"/>
  <c r="G132" i="10"/>
  <c r="F132" i="10"/>
  <c r="E132" i="10"/>
  <c r="D132" i="10"/>
  <c r="I132" i="10"/>
  <c r="J132" i="10"/>
  <c r="K132" i="10"/>
  <c r="L132" i="10"/>
  <c r="M132" i="10"/>
  <c r="H10" i="4"/>
  <c r="D154" i="9"/>
  <c r="E154" i="9"/>
  <c r="E158" i="9" s="1"/>
  <c r="E159" i="9" s="1"/>
  <c r="M154" i="9"/>
  <c r="M158" i="9" s="1"/>
  <c r="M159" i="9" s="1"/>
  <c r="F154" i="9"/>
  <c r="F158" i="9" s="1"/>
  <c r="F159" i="9" s="1"/>
  <c r="G154" i="9"/>
  <c r="G158" i="9" s="1"/>
  <c r="G159" i="9" s="1"/>
  <c r="H154" i="9"/>
  <c r="H158" i="9" s="1"/>
  <c r="H159" i="9" s="1"/>
  <c r="I154" i="9"/>
  <c r="I158" i="9" s="1"/>
  <c r="I159" i="9" s="1"/>
  <c r="J154" i="9"/>
  <c r="J158" i="9" s="1"/>
  <c r="J159" i="9" s="1"/>
  <c r="K154" i="9"/>
  <c r="K158" i="9" s="1"/>
  <c r="K159" i="9" s="1"/>
  <c r="L154" i="9"/>
  <c r="L158" i="9" s="1"/>
  <c r="L159" i="9" s="1"/>
  <c r="D83" i="9"/>
  <c r="D85" i="9"/>
  <c r="G9" i="4" s="1"/>
  <c r="M135" i="9"/>
  <c r="M136" i="9" s="1"/>
  <c r="L135" i="9"/>
  <c r="L136" i="9" s="1"/>
  <c r="H135" i="9"/>
  <c r="H136" i="9" s="1"/>
  <c r="K135" i="9"/>
  <c r="K136" i="9" s="1"/>
  <c r="J135" i="9"/>
  <c r="J136" i="9" s="1"/>
  <c r="J139" i="9" s="1"/>
  <c r="I135" i="9"/>
  <c r="I136" i="9" s="1"/>
  <c r="I139" i="9" s="1"/>
  <c r="G135" i="9"/>
  <c r="G136" i="9" s="1"/>
  <c r="G139" i="9" s="1"/>
  <c r="F135" i="9"/>
  <c r="F136" i="9" s="1"/>
  <c r="F139" i="9" s="1"/>
  <c r="E135" i="9"/>
  <c r="E136" i="9" s="1"/>
  <c r="E139" i="9" s="1"/>
  <c r="D135" i="9"/>
  <c r="D136" i="9" s="1"/>
  <c r="G138" i="9"/>
  <c r="J138" i="9"/>
  <c r="I138" i="9"/>
  <c r="F138" i="9"/>
  <c r="E138" i="9"/>
  <c r="D138" i="9"/>
  <c r="M143" i="9"/>
  <c r="D143" i="9"/>
  <c r="L143" i="9"/>
  <c r="L150" i="9" s="1"/>
  <c r="K143" i="9"/>
  <c r="K150" i="9" s="1"/>
  <c r="J143" i="9"/>
  <c r="J150" i="9" s="1"/>
  <c r="I143" i="9"/>
  <c r="I150" i="9" s="1"/>
  <c r="H143" i="9"/>
  <c r="H150" i="9" s="1"/>
  <c r="G143" i="9"/>
  <c r="G150" i="9" s="1"/>
  <c r="F143" i="9"/>
  <c r="F150" i="9" s="1"/>
  <c r="E143" i="9"/>
  <c r="E150" i="9" s="1"/>
  <c r="M132" i="9"/>
  <c r="L132" i="9"/>
  <c r="K132" i="9"/>
  <c r="J132" i="9"/>
  <c r="I132" i="9"/>
  <c r="H132" i="9"/>
  <c r="G132" i="9"/>
  <c r="F132" i="9"/>
  <c r="E132" i="9"/>
  <c r="D132" i="9"/>
  <c r="D86" i="9"/>
  <c r="D88" i="9" s="1"/>
  <c r="G10" i="4"/>
  <c r="J154" i="8"/>
  <c r="J158" i="8" s="1"/>
  <c r="J159" i="8" s="1"/>
  <c r="L154" i="8"/>
  <c r="L158" i="8" s="1"/>
  <c r="L159" i="8" s="1"/>
  <c r="I154" i="8"/>
  <c r="I158" i="8" s="1"/>
  <c r="I159" i="8" s="1"/>
  <c r="M154" i="8"/>
  <c r="M158" i="8" s="1"/>
  <c r="M159" i="8" s="1"/>
  <c r="K154" i="8"/>
  <c r="K158" i="8" s="1"/>
  <c r="K159" i="8" s="1"/>
  <c r="D83" i="8"/>
  <c r="D85" i="8"/>
  <c r="I135" i="8"/>
  <c r="I136" i="8" s="1"/>
  <c r="I139" i="8" s="1"/>
  <c r="H135" i="8"/>
  <c r="H136" i="8" s="1"/>
  <c r="G135" i="8"/>
  <c r="G136" i="8" s="1"/>
  <c r="F135" i="8"/>
  <c r="F136" i="8" s="1"/>
  <c r="E135" i="8"/>
  <c r="E136" i="8" s="1"/>
  <c r="M135" i="8"/>
  <c r="M136" i="8" s="1"/>
  <c r="M139" i="8" s="1"/>
  <c r="D135" i="8"/>
  <c r="D136" i="8" s="1"/>
  <c r="L135" i="8"/>
  <c r="L136" i="8" s="1"/>
  <c r="L139" i="8" s="1"/>
  <c r="K135" i="8"/>
  <c r="K136" i="8" s="1"/>
  <c r="K139" i="8" s="1"/>
  <c r="J135" i="8"/>
  <c r="J136" i="8" s="1"/>
  <c r="J139" i="8" s="1"/>
  <c r="F138" i="8"/>
  <c r="E138" i="8"/>
  <c r="L138" i="8"/>
  <c r="I138" i="8"/>
  <c r="K138" i="8"/>
  <c r="H138" i="8"/>
  <c r="J138" i="8"/>
  <c r="M138" i="8"/>
  <c r="G138" i="8"/>
  <c r="G143" i="8"/>
  <c r="G150" i="8" s="1"/>
  <c r="D143" i="8"/>
  <c r="J143" i="8"/>
  <c r="J150" i="8" s="1"/>
  <c r="F143" i="8"/>
  <c r="F150" i="8" s="1"/>
  <c r="M143" i="8"/>
  <c r="M150" i="8" s="1"/>
  <c r="L143" i="8"/>
  <c r="L150" i="8" s="1"/>
  <c r="E143" i="8"/>
  <c r="E150" i="8" s="1"/>
  <c r="I143" i="8"/>
  <c r="I150" i="8" s="1"/>
  <c r="K143" i="8"/>
  <c r="K150" i="8" s="1"/>
  <c r="H143" i="8"/>
  <c r="H150" i="8" s="1"/>
  <c r="M132" i="8"/>
  <c r="L132" i="8"/>
  <c r="K132" i="8"/>
  <c r="J132" i="8"/>
  <c r="I132" i="8"/>
  <c r="E132" i="8"/>
  <c r="F132" i="8"/>
  <c r="D132" i="8"/>
  <c r="G132" i="8"/>
  <c r="H132" i="8"/>
  <c r="F10" i="4"/>
  <c r="M151" i="7"/>
  <c r="M163" i="7" s="1"/>
  <c r="M166" i="7"/>
  <c r="M167" i="7" s="1"/>
  <c r="L151" i="7"/>
  <c r="L163" i="7" s="1"/>
  <c r="L166" i="7"/>
  <c r="L167" i="7" s="1"/>
  <c r="K151" i="7"/>
  <c r="K163" i="7" s="1"/>
  <c r="K166" i="7"/>
  <c r="K167" i="7" s="1"/>
  <c r="J151" i="7"/>
  <c r="J163" i="7" s="1"/>
  <c r="J166" i="7"/>
  <c r="J167" i="7" s="1"/>
  <c r="I151" i="7"/>
  <c r="I163" i="7" s="1"/>
  <c r="I166" i="7"/>
  <c r="I167" i="7" s="1"/>
  <c r="H151" i="7"/>
  <c r="H163" i="7" s="1"/>
  <c r="H166" i="7"/>
  <c r="H167" i="7" s="1"/>
  <c r="G151" i="7"/>
  <c r="G163" i="7" s="1"/>
  <c r="G166" i="7"/>
  <c r="G167" i="7" s="1"/>
  <c r="F151" i="7"/>
  <c r="F163" i="7" s="1"/>
  <c r="F166" i="7"/>
  <c r="F167" i="7" s="1"/>
  <c r="E151" i="7"/>
  <c r="D150" i="7"/>
  <c r="N143" i="7"/>
  <c r="D154" i="7"/>
  <c r="F154" i="7"/>
  <c r="F158" i="7" s="1"/>
  <c r="F159" i="7" s="1"/>
  <c r="G154" i="7"/>
  <c r="G158" i="7" s="1"/>
  <c r="G159" i="7" s="1"/>
  <c r="H154" i="7"/>
  <c r="H158" i="7" s="1"/>
  <c r="H159" i="7" s="1"/>
  <c r="I154" i="7"/>
  <c r="I158" i="7" s="1"/>
  <c r="I159" i="7" s="1"/>
  <c r="J154" i="7"/>
  <c r="J158" i="7" s="1"/>
  <c r="J159" i="7" s="1"/>
  <c r="K154" i="7"/>
  <c r="K158" i="7" s="1"/>
  <c r="K159" i="7" s="1"/>
  <c r="L154" i="7"/>
  <c r="L158" i="7" s="1"/>
  <c r="L159" i="7" s="1"/>
  <c r="M154" i="7"/>
  <c r="M158" i="7" s="1"/>
  <c r="M159" i="7" s="1"/>
  <c r="D85" i="7"/>
  <c r="D83" i="7"/>
  <c r="K135" i="7"/>
  <c r="K136" i="7" s="1"/>
  <c r="L135" i="7"/>
  <c r="L136" i="7" s="1"/>
  <c r="M135" i="7"/>
  <c r="M136" i="7" s="1"/>
  <c r="E135" i="7"/>
  <c r="E136" i="7" s="1"/>
  <c r="D135" i="7"/>
  <c r="D136" i="7" s="1"/>
  <c r="F135" i="7"/>
  <c r="F136" i="7" s="1"/>
  <c r="F139" i="7" s="1"/>
  <c r="G135" i="7"/>
  <c r="G136" i="7" s="1"/>
  <c r="G139" i="7" s="1"/>
  <c r="H135" i="7"/>
  <c r="H136" i="7" s="1"/>
  <c r="H139" i="7" s="1"/>
  <c r="I135" i="7"/>
  <c r="I136" i="7" s="1"/>
  <c r="I139" i="7" s="1"/>
  <c r="J135" i="7"/>
  <c r="J136" i="7" s="1"/>
  <c r="J139" i="7" s="1"/>
  <c r="D138" i="7"/>
  <c r="F138" i="7"/>
  <c r="G138" i="7"/>
  <c r="H138" i="7"/>
  <c r="I138" i="7"/>
  <c r="J138" i="7"/>
  <c r="D85" i="6"/>
  <c r="D9" i="4" s="1"/>
  <c r="D83" i="6"/>
  <c r="M135" i="6"/>
  <c r="M136" i="6" s="1"/>
  <c r="L135" i="6"/>
  <c r="L136" i="6" s="1"/>
  <c r="K135" i="6"/>
  <c r="K136" i="6" s="1"/>
  <c r="K139" i="6" s="1"/>
  <c r="J135" i="6"/>
  <c r="J136" i="6" s="1"/>
  <c r="J139" i="6" s="1"/>
  <c r="I135" i="6"/>
  <c r="I136" i="6" s="1"/>
  <c r="I139" i="6" s="1"/>
  <c r="H135" i="6"/>
  <c r="H136" i="6" s="1"/>
  <c r="G135" i="6"/>
  <c r="G136" i="6" s="1"/>
  <c r="F135" i="6"/>
  <c r="F136" i="6" s="1"/>
  <c r="E135" i="6"/>
  <c r="E136" i="6" s="1"/>
  <c r="D135" i="6"/>
  <c r="D136" i="6" s="1"/>
  <c r="J137" i="6"/>
  <c r="J138" i="6" s="1"/>
  <c r="I137" i="6"/>
  <c r="I138" i="6" s="1"/>
  <c r="H137" i="6"/>
  <c r="H138" i="6" s="1"/>
  <c r="G137" i="6"/>
  <c r="G138" i="6" s="1"/>
  <c r="F137" i="6"/>
  <c r="F138" i="6" s="1"/>
  <c r="D137" i="6"/>
  <c r="D138" i="6" s="1"/>
  <c r="E137" i="6"/>
  <c r="E138" i="6" s="1"/>
  <c r="K137" i="6"/>
  <c r="K138" i="6" s="1"/>
  <c r="J143" i="6"/>
  <c r="J150" i="6" s="1"/>
  <c r="D143" i="6"/>
  <c r="E143" i="6"/>
  <c r="E150" i="6" s="1"/>
  <c r="F143" i="6"/>
  <c r="F150" i="6" s="1"/>
  <c r="G143" i="6"/>
  <c r="G150" i="6" s="1"/>
  <c r="H143" i="6"/>
  <c r="H150" i="6" s="1"/>
  <c r="K143" i="6"/>
  <c r="K150" i="6" s="1"/>
  <c r="I143" i="6"/>
  <c r="I150" i="6" s="1"/>
  <c r="L143" i="6"/>
  <c r="L150" i="6" s="1"/>
  <c r="L132" i="6"/>
  <c r="H132" i="6"/>
  <c r="M132" i="6"/>
  <c r="K132" i="6"/>
  <c r="F132" i="6"/>
  <c r="J132" i="6"/>
  <c r="E132" i="6"/>
  <c r="D132" i="6"/>
  <c r="I132" i="6"/>
  <c r="G132" i="6"/>
  <c r="D10" i="4"/>
  <c r="D86" i="6"/>
  <c r="D88" i="6" s="1"/>
  <c r="D85" i="5"/>
  <c r="C9" i="4" s="1"/>
  <c r="D83" i="5"/>
  <c r="F135" i="5"/>
  <c r="F136" i="5" s="1"/>
  <c r="F137" i="5" s="1"/>
  <c r="F138" i="5" s="1"/>
  <c r="E135" i="5"/>
  <c r="E136" i="5" s="1"/>
  <c r="E137" i="5" s="1"/>
  <c r="E138" i="5" s="1"/>
  <c r="D135" i="5"/>
  <c r="D136" i="5" s="1"/>
  <c r="D137" i="5" s="1"/>
  <c r="L135" i="5"/>
  <c r="L136" i="5" s="1"/>
  <c r="I135" i="5"/>
  <c r="I136" i="5" s="1"/>
  <c r="K135" i="5"/>
  <c r="K136" i="5" s="1"/>
  <c r="J135" i="5"/>
  <c r="J136" i="5" s="1"/>
  <c r="H135" i="5"/>
  <c r="H136" i="5" s="1"/>
  <c r="G135" i="5"/>
  <c r="G136" i="5" s="1"/>
  <c r="M135" i="5"/>
  <c r="M136" i="5" s="1"/>
  <c r="H137" i="5"/>
  <c r="H138" i="5" s="1"/>
  <c r="M137" i="5"/>
  <c r="M138" i="5" s="1"/>
  <c r="G137" i="5"/>
  <c r="G138" i="5" s="1"/>
  <c r="G143" i="5"/>
  <c r="G150" i="5" s="1"/>
  <c r="H143" i="5"/>
  <c r="H150" i="5" s="1"/>
  <c r="L143" i="5"/>
  <c r="L150" i="5" s="1"/>
  <c r="M143" i="5"/>
  <c r="M150" i="5" s="1"/>
  <c r="D143" i="5"/>
  <c r="E143" i="5"/>
  <c r="E150" i="5" s="1"/>
  <c r="F143" i="5"/>
  <c r="F150" i="5" s="1"/>
  <c r="D132" i="5"/>
  <c r="J132" i="5"/>
  <c r="K132" i="5"/>
  <c r="L132" i="5"/>
  <c r="I132" i="5"/>
  <c r="G132" i="5"/>
  <c r="F132" i="5"/>
  <c r="E132" i="5"/>
  <c r="H132" i="5"/>
  <c r="M132" i="5"/>
  <c r="C10" i="4"/>
  <c r="D86" i="5"/>
  <c r="D88" i="5" s="1"/>
  <c r="N154" i="12" l="1"/>
  <c r="D158" i="12"/>
  <c r="N136" i="12"/>
  <c r="D139" i="12"/>
  <c r="M151" i="12"/>
  <c r="M163" i="12" s="1"/>
  <c r="M166" i="12"/>
  <c r="M167" i="12" s="1"/>
  <c r="L151" i="12"/>
  <c r="L163" i="12" s="1"/>
  <c r="L166" i="12"/>
  <c r="L167" i="12" s="1"/>
  <c r="K151" i="12"/>
  <c r="K163" i="12" s="1"/>
  <c r="K166" i="12"/>
  <c r="K167" i="12" s="1"/>
  <c r="J151" i="12"/>
  <c r="J163" i="12" s="1"/>
  <c r="J166" i="12"/>
  <c r="J167" i="12" s="1"/>
  <c r="N143" i="12"/>
  <c r="D150" i="12"/>
  <c r="E151" i="12"/>
  <c r="E163" i="12" s="1"/>
  <c r="E166" i="12"/>
  <c r="E167" i="12" s="1"/>
  <c r="F151" i="12"/>
  <c r="F163" i="12" s="1"/>
  <c r="F166" i="12"/>
  <c r="F167" i="12" s="1"/>
  <c r="G151" i="12"/>
  <c r="G163" i="12" s="1"/>
  <c r="G166" i="12"/>
  <c r="G167" i="12" s="1"/>
  <c r="H151" i="12"/>
  <c r="H163" i="12" s="1"/>
  <c r="H166" i="12"/>
  <c r="H167" i="12" s="1"/>
  <c r="I151" i="12"/>
  <c r="I163" i="12" s="1"/>
  <c r="I166" i="12"/>
  <c r="I167" i="12" s="1"/>
  <c r="N136" i="11"/>
  <c r="D139" i="11"/>
  <c r="E151" i="11"/>
  <c r="E166" i="11"/>
  <c r="E167" i="11" s="1"/>
  <c r="F151" i="11"/>
  <c r="F163" i="11" s="1"/>
  <c r="F166" i="11"/>
  <c r="F167" i="11" s="1"/>
  <c r="G151" i="11"/>
  <c r="G163" i="11" s="1"/>
  <c r="G166" i="11"/>
  <c r="G167" i="11" s="1"/>
  <c r="H151" i="11"/>
  <c r="H163" i="11" s="1"/>
  <c r="H166" i="11"/>
  <c r="H167" i="11" s="1"/>
  <c r="I151" i="11"/>
  <c r="I163" i="11" s="1"/>
  <c r="I166" i="11"/>
  <c r="I167" i="11" s="1"/>
  <c r="L151" i="11"/>
  <c r="L163" i="11" s="1"/>
  <c r="L166" i="11"/>
  <c r="L167" i="11" s="1"/>
  <c r="M151" i="11"/>
  <c r="M163" i="11" s="1"/>
  <c r="M166" i="11"/>
  <c r="M167" i="11" s="1"/>
  <c r="N143" i="11"/>
  <c r="D150" i="11"/>
  <c r="J151" i="11"/>
  <c r="J163" i="11" s="1"/>
  <c r="J166" i="11"/>
  <c r="J167" i="11" s="1"/>
  <c r="K151" i="11"/>
  <c r="K163" i="11" s="1"/>
  <c r="K166" i="11"/>
  <c r="K167" i="11" s="1"/>
  <c r="H139" i="10"/>
  <c r="H154" i="10"/>
  <c r="H158" i="10" s="1"/>
  <c r="H159" i="10" s="1"/>
  <c r="G139" i="10"/>
  <c r="G154" i="10"/>
  <c r="G158" i="10" s="1"/>
  <c r="G159" i="10" s="1"/>
  <c r="F139" i="10"/>
  <c r="F154" i="10"/>
  <c r="F158" i="10" s="1"/>
  <c r="F159" i="10" s="1"/>
  <c r="N136" i="10"/>
  <c r="D139" i="10"/>
  <c r="D154" i="10"/>
  <c r="E139" i="10"/>
  <c r="E154" i="10"/>
  <c r="E158" i="10" s="1"/>
  <c r="E159" i="10" s="1"/>
  <c r="M151" i="10"/>
  <c r="M163" i="10" s="1"/>
  <c r="M166" i="10"/>
  <c r="M167" i="10" s="1"/>
  <c r="L166" i="10"/>
  <c r="L167" i="10" s="1"/>
  <c r="L151" i="10"/>
  <c r="L163" i="10" s="1"/>
  <c r="N143" i="10"/>
  <c r="D150" i="10"/>
  <c r="E151" i="10"/>
  <c r="E163" i="10" s="1"/>
  <c r="E166" i="10"/>
  <c r="E167" i="10" s="1"/>
  <c r="F166" i="10"/>
  <c r="F167" i="10" s="1"/>
  <c r="F151" i="10"/>
  <c r="F163" i="10" s="1"/>
  <c r="G151" i="10"/>
  <c r="G163" i="10" s="1"/>
  <c r="G166" i="10"/>
  <c r="G167" i="10" s="1"/>
  <c r="H151" i="10"/>
  <c r="H163" i="10" s="1"/>
  <c r="H166" i="10"/>
  <c r="H167" i="10" s="1"/>
  <c r="I166" i="10"/>
  <c r="I167" i="10" s="1"/>
  <c r="I151" i="10"/>
  <c r="I163" i="10" s="1"/>
  <c r="J151" i="10"/>
  <c r="J163" i="10" s="1"/>
  <c r="J166" i="10"/>
  <c r="J167" i="10" s="1"/>
  <c r="K151" i="10"/>
  <c r="K163" i="10" s="1"/>
  <c r="K166" i="10"/>
  <c r="K167" i="10" s="1"/>
  <c r="N154" i="9"/>
  <c r="D158" i="9"/>
  <c r="N136" i="9"/>
  <c r="D139" i="9"/>
  <c r="M150" i="9"/>
  <c r="C12" i="15"/>
  <c r="N143" i="9"/>
  <c r="D150" i="9"/>
  <c r="L151" i="9"/>
  <c r="L163" i="9" s="1"/>
  <c r="L166" i="9"/>
  <c r="L167" i="9" s="1"/>
  <c r="K151" i="9"/>
  <c r="K163" i="9" s="1"/>
  <c r="K166" i="9"/>
  <c r="K167" i="9" s="1"/>
  <c r="J151" i="9"/>
  <c r="J163" i="9" s="1"/>
  <c r="J166" i="9"/>
  <c r="J167" i="9" s="1"/>
  <c r="I151" i="9"/>
  <c r="I163" i="9" s="1"/>
  <c r="I166" i="9"/>
  <c r="I167" i="9" s="1"/>
  <c r="H151" i="9"/>
  <c r="H163" i="9" s="1"/>
  <c r="H166" i="9"/>
  <c r="H167" i="9" s="1"/>
  <c r="G151" i="9"/>
  <c r="G163" i="9" s="1"/>
  <c r="G166" i="9"/>
  <c r="G167" i="9" s="1"/>
  <c r="F151" i="9"/>
  <c r="F163" i="9" s="1"/>
  <c r="F166" i="9"/>
  <c r="F167" i="9" s="1"/>
  <c r="E151" i="9"/>
  <c r="E163" i="9" s="1"/>
  <c r="E166" i="9"/>
  <c r="E167" i="9" s="1"/>
  <c r="D139" i="8"/>
  <c r="N136" i="8"/>
  <c r="G151" i="8"/>
  <c r="G166" i="8"/>
  <c r="G167" i="8" s="1"/>
  <c r="D150" i="8"/>
  <c r="N143" i="8"/>
  <c r="J166" i="8"/>
  <c r="J167" i="8" s="1"/>
  <c r="J151" i="8"/>
  <c r="J163" i="8" s="1"/>
  <c r="F151" i="8"/>
  <c r="F166" i="8"/>
  <c r="F167" i="8" s="1"/>
  <c r="M151" i="8"/>
  <c r="M163" i="8" s="1"/>
  <c r="M166" i="8"/>
  <c r="M167" i="8" s="1"/>
  <c r="L166" i="8"/>
  <c r="L167" i="8" s="1"/>
  <c r="L151" i="8"/>
  <c r="L163" i="8" s="1"/>
  <c r="E151" i="8"/>
  <c r="E166" i="8"/>
  <c r="E167" i="8" s="1"/>
  <c r="I166" i="8"/>
  <c r="I167" i="8" s="1"/>
  <c r="I151" i="8"/>
  <c r="I163" i="8" s="1"/>
  <c r="K166" i="8"/>
  <c r="K167" i="8" s="1"/>
  <c r="K151" i="8"/>
  <c r="K163" i="8" s="1"/>
  <c r="H151" i="8"/>
  <c r="H166" i="8"/>
  <c r="H167" i="8" s="1"/>
  <c r="N150" i="7"/>
  <c r="D151" i="7"/>
  <c r="D158" i="7"/>
  <c r="D86" i="7"/>
  <c r="D88" i="7" s="1"/>
  <c r="E9" i="4"/>
  <c r="N136" i="7"/>
  <c r="D139" i="7"/>
  <c r="D166" i="7" s="1"/>
  <c r="D167" i="7" s="1"/>
  <c r="H139" i="6"/>
  <c r="H140" i="6" s="1"/>
  <c r="H154" i="6"/>
  <c r="H158" i="6" s="1"/>
  <c r="H159" i="6" s="1"/>
  <c r="G139" i="6"/>
  <c r="G140" i="6" s="1"/>
  <c r="G154" i="6"/>
  <c r="G158" i="6" s="1"/>
  <c r="G159" i="6" s="1"/>
  <c r="F139" i="6"/>
  <c r="F140" i="6" s="1"/>
  <c r="F154" i="6"/>
  <c r="F158" i="6" s="1"/>
  <c r="F159" i="6" s="1"/>
  <c r="E139" i="6"/>
  <c r="E140" i="6" s="1"/>
  <c r="E154" i="6"/>
  <c r="E158" i="6" s="1"/>
  <c r="E159" i="6" s="1"/>
  <c r="N136" i="6"/>
  <c r="D139" i="6"/>
  <c r="D154" i="6"/>
  <c r="J151" i="6"/>
  <c r="J163" i="6" s="1"/>
  <c r="J166" i="6"/>
  <c r="J167" i="6" s="1"/>
  <c r="D150" i="6"/>
  <c r="E151" i="6"/>
  <c r="E163" i="6" s="1"/>
  <c r="E166" i="6"/>
  <c r="E167" i="6" s="1"/>
  <c r="F151" i="6"/>
  <c r="F163" i="6" s="1"/>
  <c r="F166" i="6"/>
  <c r="F167" i="6" s="1"/>
  <c r="G151" i="6"/>
  <c r="G163" i="6" s="1"/>
  <c r="G166" i="6"/>
  <c r="G167" i="6" s="1"/>
  <c r="H151" i="6"/>
  <c r="H163" i="6" s="1"/>
  <c r="H166" i="6"/>
  <c r="H167" i="6" s="1"/>
  <c r="K151" i="6"/>
  <c r="K163" i="6" s="1"/>
  <c r="K166" i="6"/>
  <c r="K167" i="6" s="1"/>
  <c r="I151" i="6"/>
  <c r="I163" i="6" s="1"/>
  <c r="I166" i="6"/>
  <c r="I167" i="6" s="1"/>
  <c r="L151" i="6"/>
  <c r="L163" i="6" s="1"/>
  <c r="L166" i="6"/>
  <c r="L167" i="6" s="1"/>
  <c r="F139" i="5"/>
  <c r="F140" i="5" s="1"/>
  <c r="F154" i="5"/>
  <c r="F158" i="5" s="1"/>
  <c r="F159" i="5" s="1"/>
  <c r="E139" i="5"/>
  <c r="E140" i="5" s="1"/>
  <c r="E154" i="5"/>
  <c r="E158" i="5" s="1"/>
  <c r="E159" i="5" s="1"/>
  <c r="N136" i="5"/>
  <c r="D139" i="5"/>
  <c r="D154" i="5"/>
  <c r="H139" i="5"/>
  <c r="H140" i="5" s="1"/>
  <c r="H154" i="5"/>
  <c r="H158" i="5" s="1"/>
  <c r="H159" i="5" s="1"/>
  <c r="G139" i="5"/>
  <c r="G140" i="5" s="1"/>
  <c r="G154" i="5"/>
  <c r="G158" i="5" s="1"/>
  <c r="G159" i="5" s="1"/>
  <c r="M139" i="5"/>
  <c r="M140" i="5" s="1"/>
  <c r="C9" i="15"/>
  <c r="G151" i="5"/>
  <c r="G163" i="5" s="1"/>
  <c r="G166" i="5"/>
  <c r="G167" i="5" s="1"/>
  <c r="H151" i="5"/>
  <c r="H163" i="5" s="1"/>
  <c r="H166" i="5"/>
  <c r="H167" i="5" s="1"/>
  <c r="L151" i="5"/>
  <c r="L163" i="5" s="1"/>
  <c r="L166" i="5"/>
  <c r="L167" i="5" s="1"/>
  <c r="M151" i="5"/>
  <c r="M163" i="5" s="1"/>
  <c r="M166" i="5"/>
  <c r="M167" i="5" s="1"/>
  <c r="D150" i="5"/>
  <c r="E151" i="5"/>
  <c r="E163" i="5" s="1"/>
  <c r="E166" i="5"/>
  <c r="E167" i="5" s="1"/>
  <c r="F151" i="5"/>
  <c r="F163" i="5" s="1"/>
  <c r="F166" i="5"/>
  <c r="F167" i="5" s="1"/>
  <c r="D18" i="10"/>
  <c r="N157" i="10"/>
  <c r="D18" i="6"/>
  <c r="N137" i="6"/>
  <c r="D154" i="11"/>
  <c r="D138" i="11"/>
  <c r="D18" i="11" s="1"/>
  <c r="E139" i="11"/>
  <c r="E140" i="11" s="1"/>
  <c r="E154" i="11"/>
  <c r="E158" i="11" s="1"/>
  <c r="E159" i="11" s="1"/>
  <c r="E138" i="11"/>
  <c r="F139" i="11"/>
  <c r="F140" i="11" s="1"/>
  <c r="F138" i="11"/>
  <c r="F154" i="11"/>
  <c r="F158" i="11" s="1"/>
  <c r="F159" i="11" s="1"/>
  <c r="G139" i="11"/>
  <c r="G140" i="11" s="1"/>
  <c r="G154" i="11"/>
  <c r="G158" i="11" s="1"/>
  <c r="G159" i="11" s="1"/>
  <c r="G138" i="11"/>
  <c r="H139" i="11"/>
  <c r="H140" i="11" s="1"/>
  <c r="H154" i="11"/>
  <c r="H158" i="11" s="1"/>
  <c r="H159" i="11" s="1"/>
  <c r="H138" i="11"/>
  <c r="H9" i="4"/>
  <c r="D86" i="10"/>
  <c r="D88" i="10" s="1"/>
  <c r="M139" i="9"/>
  <c r="M138" i="9"/>
  <c r="L139" i="9"/>
  <c r="L138" i="9"/>
  <c r="H139" i="9"/>
  <c r="H138" i="9"/>
  <c r="K139" i="9"/>
  <c r="K138" i="9"/>
  <c r="E140" i="9"/>
  <c r="F140" i="9"/>
  <c r="G140" i="9"/>
  <c r="I140" i="9"/>
  <c r="J140" i="9"/>
  <c r="K140" i="9"/>
  <c r="H140" i="9"/>
  <c r="L140" i="9"/>
  <c r="G11" i="4"/>
  <c r="F9" i="4"/>
  <c r="D86" i="8"/>
  <c r="D88" i="8" s="1"/>
  <c r="H139" i="8"/>
  <c r="H154" i="8"/>
  <c r="H158" i="8" s="1"/>
  <c r="H159" i="8" s="1"/>
  <c r="G139" i="8"/>
  <c r="G154" i="8"/>
  <c r="G158" i="8" s="1"/>
  <c r="G159" i="8" s="1"/>
  <c r="F139" i="8"/>
  <c r="F154" i="8"/>
  <c r="F158" i="8" s="1"/>
  <c r="F159" i="8" s="1"/>
  <c r="E139" i="8"/>
  <c r="E154" i="8"/>
  <c r="E158" i="8" s="1"/>
  <c r="E159" i="8" s="1"/>
  <c r="D154" i="8"/>
  <c r="D138" i="8"/>
  <c r="D18" i="8" s="1"/>
  <c r="K139" i="7"/>
  <c r="K138" i="7"/>
  <c r="L139" i="7"/>
  <c r="L138" i="7"/>
  <c r="M139" i="7"/>
  <c r="M138" i="7"/>
  <c r="E139" i="7"/>
  <c r="E166" i="7" s="1"/>
  <c r="E167" i="7" s="1"/>
  <c r="E154" i="7"/>
  <c r="E138" i="7"/>
  <c r="D18" i="7" s="1"/>
  <c r="M139" i="6"/>
  <c r="M137" i="6"/>
  <c r="M138" i="6" s="1"/>
  <c r="M143" i="6"/>
  <c r="L139" i="6"/>
  <c r="L137" i="6"/>
  <c r="L138" i="6" s="1"/>
  <c r="I140" i="6"/>
  <c r="J140" i="6"/>
  <c r="K140" i="6"/>
  <c r="L140" i="6"/>
  <c r="M140" i="6"/>
  <c r="D11" i="4"/>
  <c r="D138" i="5"/>
  <c r="L139" i="5"/>
  <c r="L137" i="5"/>
  <c r="L138" i="5" s="1"/>
  <c r="I139" i="5"/>
  <c r="I137" i="5"/>
  <c r="I143" i="5"/>
  <c r="K139" i="5"/>
  <c r="K137" i="5"/>
  <c r="K138" i="5" s="1"/>
  <c r="K143" i="5"/>
  <c r="K150" i="5" s="1"/>
  <c r="J139" i="5"/>
  <c r="J137" i="5"/>
  <c r="J138" i="5" s="1"/>
  <c r="J143" i="5"/>
  <c r="J150" i="5" s="1"/>
  <c r="J140" i="5"/>
  <c r="L140" i="5"/>
  <c r="I140" i="5"/>
  <c r="K140" i="5"/>
  <c r="C11" i="4"/>
  <c r="N158" i="12" l="1"/>
  <c r="D159" i="12"/>
  <c r="N159" i="12" s="1"/>
  <c r="J15" i="4"/>
  <c r="D9" i="12"/>
  <c r="N139" i="12"/>
  <c r="J16" i="4" s="1"/>
  <c r="D140" i="12"/>
  <c r="N150" i="12"/>
  <c r="D151" i="12"/>
  <c r="D166" i="12"/>
  <c r="D167" i="12" s="1"/>
  <c r="I15" i="4"/>
  <c r="D9" i="11"/>
  <c r="N139" i="11"/>
  <c r="I16" i="4" s="1"/>
  <c r="D140" i="11"/>
  <c r="N150" i="11"/>
  <c r="D151" i="11"/>
  <c r="D166" i="11"/>
  <c r="D167" i="11" s="1"/>
  <c r="D9" i="10"/>
  <c r="H15" i="4"/>
  <c r="N139" i="10"/>
  <c r="H16" i="4" s="1"/>
  <c r="D140" i="10"/>
  <c r="N154" i="10"/>
  <c r="D158" i="10"/>
  <c r="N150" i="10"/>
  <c r="D166" i="10"/>
  <c r="D167" i="10" s="1"/>
  <c r="D151" i="10"/>
  <c r="N158" i="9"/>
  <c r="D159" i="9"/>
  <c r="N159" i="9" s="1"/>
  <c r="D9" i="9"/>
  <c r="G15" i="4"/>
  <c r="N139" i="9"/>
  <c r="G16" i="4" s="1"/>
  <c r="D140" i="9"/>
  <c r="M151" i="9"/>
  <c r="M166" i="9"/>
  <c r="N150" i="9"/>
  <c r="D151" i="9"/>
  <c r="D166" i="9"/>
  <c r="D167" i="9" s="1"/>
  <c r="N139" i="8"/>
  <c r="F16" i="4" s="1"/>
  <c r="D140" i="8"/>
  <c r="F15" i="4"/>
  <c r="D9" i="8"/>
  <c r="D151" i="8"/>
  <c r="N150" i="8"/>
  <c r="D166" i="8"/>
  <c r="D167" i="8" s="1"/>
  <c r="N151" i="7"/>
  <c r="D163" i="7"/>
  <c r="N163" i="7" s="1"/>
  <c r="N167" i="7"/>
  <c r="N158" i="7"/>
  <c r="D159" i="7"/>
  <c r="N159" i="7" s="1"/>
  <c r="J140" i="7"/>
  <c r="I140" i="7"/>
  <c r="H140" i="7"/>
  <c r="G140" i="7"/>
  <c r="F140" i="7"/>
  <c r="E140" i="7"/>
  <c r="M140" i="7"/>
  <c r="L140" i="7"/>
  <c r="K140" i="7"/>
  <c r="E11" i="4"/>
  <c r="E15" i="4"/>
  <c r="D9" i="7"/>
  <c r="N139" i="7"/>
  <c r="E16" i="4" s="1"/>
  <c r="D140" i="7"/>
  <c r="D15" i="4"/>
  <c r="D9" i="6"/>
  <c r="N139" i="6"/>
  <c r="D16" i="4" s="1"/>
  <c r="D140" i="6"/>
  <c r="N154" i="6"/>
  <c r="D158" i="6"/>
  <c r="N150" i="6"/>
  <c r="D151" i="6"/>
  <c r="D166" i="6"/>
  <c r="D167" i="6" s="1"/>
  <c r="C15" i="4"/>
  <c r="D9" i="5"/>
  <c r="N139" i="5"/>
  <c r="C16" i="4" s="1"/>
  <c r="D140" i="5"/>
  <c r="N154" i="5"/>
  <c r="D158" i="5"/>
  <c r="D9" i="15"/>
  <c r="E9" i="15" s="1"/>
  <c r="N150" i="5"/>
  <c r="D151" i="5"/>
  <c r="D166" i="5"/>
  <c r="D167" i="5" s="1"/>
  <c r="D158" i="11"/>
  <c r="N154" i="11"/>
  <c r="J140" i="10"/>
  <c r="K140" i="10"/>
  <c r="L140" i="10"/>
  <c r="I140" i="10"/>
  <c r="M140" i="10"/>
  <c r="H11" i="4"/>
  <c r="C11" i="15"/>
  <c r="M140" i="9"/>
  <c r="G31" i="4"/>
  <c r="G30" i="4"/>
  <c r="G29" i="4"/>
  <c r="L140" i="8"/>
  <c r="K140" i="8"/>
  <c r="M140" i="8"/>
  <c r="J140" i="8"/>
  <c r="E140" i="8"/>
  <c r="F140" i="8"/>
  <c r="G140" i="8"/>
  <c r="H140" i="8"/>
  <c r="I140" i="8"/>
  <c r="F11" i="4"/>
  <c r="D158" i="8"/>
  <c r="N154" i="8"/>
  <c r="D31" i="4"/>
  <c r="D30" i="4"/>
  <c r="D29" i="4"/>
  <c r="K166" i="5"/>
  <c r="K167" i="5" s="1"/>
  <c r="K151" i="5"/>
  <c r="K163" i="5" s="1"/>
  <c r="J166" i="5"/>
  <c r="J167" i="5" s="1"/>
  <c r="J151" i="5"/>
  <c r="J163" i="5" s="1"/>
  <c r="C31" i="4"/>
  <c r="C30" i="4"/>
  <c r="C29" i="4"/>
  <c r="E163" i="11"/>
  <c r="H140" i="10"/>
  <c r="G140" i="10"/>
  <c r="F140" i="10"/>
  <c r="E140" i="10"/>
  <c r="F163" i="8"/>
  <c r="E163" i="8"/>
  <c r="G163" i="8"/>
  <c r="H163" i="8"/>
  <c r="D18" i="9"/>
  <c r="D18" i="5"/>
  <c r="E158" i="7"/>
  <c r="E159" i="7" s="1"/>
  <c r="E163" i="7" s="1"/>
  <c r="N154" i="7"/>
  <c r="M150" i="6"/>
  <c r="N143" i="6"/>
  <c r="I138" i="5"/>
  <c r="N137" i="5"/>
  <c r="I150" i="5"/>
  <c r="N143" i="5"/>
  <c r="D12" i="12" l="1"/>
  <c r="J19" i="4"/>
  <c r="J33" i="4"/>
  <c r="N140" i="12"/>
  <c r="N151" i="12"/>
  <c r="D163" i="12"/>
  <c r="N167" i="12"/>
  <c r="N140" i="11"/>
  <c r="N151" i="11"/>
  <c r="D163" i="11"/>
  <c r="N167" i="11"/>
  <c r="N140" i="10"/>
  <c r="N158" i="10"/>
  <c r="D159" i="10"/>
  <c r="N167" i="10"/>
  <c r="N151" i="10"/>
  <c r="G19" i="4"/>
  <c r="G33" i="4" s="1"/>
  <c r="D12" i="9"/>
  <c r="N140" i="9"/>
  <c r="M163" i="9"/>
  <c r="D12" i="15"/>
  <c r="E12" i="15" s="1"/>
  <c r="M167" i="9"/>
  <c r="D11" i="15"/>
  <c r="E11" i="15" s="1"/>
  <c r="N151" i="9"/>
  <c r="D163" i="9"/>
  <c r="N167" i="9"/>
  <c r="N140" i="8"/>
  <c r="N151" i="8"/>
  <c r="D163" i="8"/>
  <c r="N167" i="8"/>
  <c r="E18" i="4"/>
  <c r="D11" i="7"/>
  <c r="E23" i="4"/>
  <c r="D15" i="7"/>
  <c r="E19" i="4"/>
  <c r="D12" i="7"/>
  <c r="E31" i="4"/>
  <c r="E30" i="4"/>
  <c r="E29" i="4"/>
  <c r="E32" i="4"/>
  <c r="E33" i="4"/>
  <c r="N140" i="7"/>
  <c r="D165" i="7"/>
  <c r="N140" i="6"/>
  <c r="N158" i="6"/>
  <c r="D159" i="6"/>
  <c r="N159" i="6" s="1"/>
  <c r="D163" i="6"/>
  <c r="D165" i="6" s="1"/>
  <c r="N140" i="5"/>
  <c r="N158" i="5"/>
  <c r="D159" i="5"/>
  <c r="N159" i="5" s="1"/>
  <c r="D163" i="5"/>
  <c r="D165" i="5" s="1"/>
  <c r="N158" i="11"/>
  <c r="D159" i="11"/>
  <c r="N159" i="11" s="1"/>
  <c r="H31" i="4"/>
  <c r="H30" i="4"/>
  <c r="H29" i="4"/>
  <c r="F31" i="4"/>
  <c r="F30" i="4"/>
  <c r="F29" i="4"/>
  <c r="D159" i="8"/>
  <c r="N159" i="8" s="1"/>
  <c r="N158" i="8"/>
  <c r="M151" i="6"/>
  <c r="M166" i="6"/>
  <c r="M167" i="6" s="1"/>
  <c r="N167" i="6" s="1"/>
  <c r="I151" i="5"/>
  <c r="I166" i="5"/>
  <c r="I167" i="5" s="1"/>
  <c r="N167" i="5" s="1"/>
  <c r="D10" i="12" l="1"/>
  <c r="J17" i="4"/>
  <c r="D11" i="12"/>
  <c r="J18" i="4"/>
  <c r="J32" i="4" s="1"/>
  <c r="D15" i="12"/>
  <c r="J23" i="4"/>
  <c r="I17" i="4"/>
  <c r="D10" i="11"/>
  <c r="I18" i="4"/>
  <c r="I32" i="4" s="1"/>
  <c r="D11" i="11"/>
  <c r="D15" i="11"/>
  <c r="I23" i="4"/>
  <c r="D10" i="10"/>
  <c r="H17" i="4"/>
  <c r="H23" i="4"/>
  <c r="D15" i="10"/>
  <c r="D11" i="10"/>
  <c r="H18" i="4"/>
  <c r="H32" i="4" s="1"/>
  <c r="G17" i="4"/>
  <c r="D10" i="9"/>
  <c r="G18" i="4"/>
  <c r="G32" i="4" s="1"/>
  <c r="D11" i="9"/>
  <c r="G23" i="4"/>
  <c r="D15" i="9"/>
  <c r="D10" i="8"/>
  <c r="F17" i="4"/>
  <c r="F18" i="4"/>
  <c r="F32" i="4" s="1"/>
  <c r="D11" i="8"/>
  <c r="F23" i="4"/>
  <c r="D15" i="8"/>
  <c r="E17" i="4"/>
  <c r="D10" i="7"/>
  <c r="D168" i="7"/>
  <c r="D169" i="7"/>
  <c r="D170" i="7"/>
  <c r="E164" i="7"/>
  <c r="E165" i="7" s="1"/>
  <c r="D17" i="4"/>
  <c r="D10" i="6"/>
  <c r="E164" i="6"/>
  <c r="E165" i="6" s="1"/>
  <c r="D19" i="4"/>
  <c r="D33" i="4" s="1"/>
  <c r="D12" i="6"/>
  <c r="D23" i="4"/>
  <c r="D15" i="6"/>
  <c r="C17" i="4"/>
  <c r="D10" i="5"/>
  <c r="E164" i="5"/>
  <c r="E165" i="5" s="1"/>
  <c r="C19" i="4"/>
  <c r="C33" i="4" s="1"/>
  <c r="D12" i="5"/>
  <c r="C23" i="4"/>
  <c r="D15" i="5"/>
  <c r="D12" i="11"/>
  <c r="I19" i="4"/>
  <c r="I33" i="4" s="1"/>
  <c r="D12" i="8"/>
  <c r="F19" i="4"/>
  <c r="F33" i="4" s="1"/>
  <c r="N163" i="12"/>
  <c r="D165" i="12"/>
  <c r="N163" i="11"/>
  <c r="D165" i="11"/>
  <c r="N159" i="10"/>
  <c r="D163" i="10"/>
  <c r="N163" i="9"/>
  <c r="D165" i="9"/>
  <c r="N163" i="8"/>
  <c r="D165" i="8"/>
  <c r="D169" i="6"/>
  <c r="D168" i="6"/>
  <c r="D170" i="6" s="1"/>
  <c r="D169" i="5"/>
  <c r="D168" i="5"/>
  <c r="D170" i="5" s="1"/>
  <c r="M163" i="6"/>
  <c r="N163" i="6" s="1"/>
  <c r="N151" i="6"/>
  <c r="I163" i="5"/>
  <c r="N163" i="5" s="1"/>
  <c r="N151" i="5"/>
  <c r="D171" i="7" l="1"/>
  <c r="D172" i="7"/>
  <c r="E168" i="7"/>
  <c r="E169" i="7"/>
  <c r="E170" i="7" s="1"/>
  <c r="F164" i="7"/>
  <c r="F165" i="7" s="1"/>
  <c r="E169" i="6"/>
  <c r="E168" i="6"/>
  <c r="E170" i="6" s="1"/>
  <c r="F164" i="6"/>
  <c r="F165" i="6" s="1"/>
  <c r="E169" i="5"/>
  <c r="E168" i="5"/>
  <c r="E170" i="5"/>
  <c r="F164" i="5"/>
  <c r="F165" i="5" s="1"/>
  <c r="E164" i="12"/>
  <c r="E165" i="12" s="1"/>
  <c r="D169" i="12"/>
  <c r="D168" i="12"/>
  <c r="D170" i="12" s="1"/>
  <c r="E164" i="11"/>
  <c r="E165" i="11" s="1"/>
  <c r="D169" i="11"/>
  <c r="D168" i="11"/>
  <c r="D170" i="11"/>
  <c r="D12" i="10"/>
  <c r="H19" i="4"/>
  <c r="H33" i="4" s="1"/>
  <c r="D165" i="10"/>
  <c r="N163" i="10"/>
  <c r="E164" i="9"/>
  <c r="E165" i="9" s="1"/>
  <c r="D169" i="9"/>
  <c r="D168" i="9"/>
  <c r="D170" i="9" s="1"/>
  <c r="E164" i="8"/>
  <c r="E165" i="8" s="1"/>
  <c r="D168" i="8"/>
  <c r="D170" i="8" s="1"/>
  <c r="D169" i="8"/>
  <c r="D172" i="6"/>
  <c r="D171" i="6"/>
  <c r="D171" i="5"/>
  <c r="D172" i="5" s="1"/>
  <c r="D11" i="6"/>
  <c r="D18" i="4"/>
  <c r="D32" i="4" s="1"/>
  <c r="D11" i="5"/>
  <c r="C18" i="4"/>
  <c r="C32" i="4" s="1"/>
  <c r="E41" i="4" l="1"/>
  <c r="E171" i="7"/>
  <c r="E172" i="7"/>
  <c r="G164" i="7"/>
  <c r="G165" i="7" s="1"/>
  <c r="F168" i="7"/>
  <c r="F170" i="7" s="1"/>
  <c r="F169" i="7"/>
  <c r="E171" i="6"/>
  <c r="F169" i="6"/>
  <c r="F170" i="6" s="1"/>
  <c r="F168" i="6"/>
  <c r="G164" i="6"/>
  <c r="G165" i="6" s="1"/>
  <c r="E171" i="5"/>
  <c r="F169" i="5"/>
  <c r="F168" i="5"/>
  <c r="F170" i="5"/>
  <c r="G164" i="5"/>
  <c r="G165" i="5" s="1"/>
  <c r="E168" i="12"/>
  <c r="E169" i="12"/>
  <c r="E170" i="12"/>
  <c r="F164" i="12"/>
  <c r="F165" i="12" s="1"/>
  <c r="D171" i="12"/>
  <c r="D172" i="12"/>
  <c r="E168" i="11"/>
  <c r="E169" i="11"/>
  <c r="E170" i="11" s="1"/>
  <c r="F164" i="11"/>
  <c r="F165" i="11" s="1"/>
  <c r="D171" i="11"/>
  <c r="D172" i="11" s="1"/>
  <c r="E164" i="10"/>
  <c r="E165" i="10" s="1"/>
  <c r="D169" i="10"/>
  <c r="D168" i="10"/>
  <c r="D170" i="10" s="1"/>
  <c r="E170" i="9"/>
  <c r="E169" i="9"/>
  <c r="E168" i="9"/>
  <c r="F164" i="9"/>
  <c r="F165" i="9" s="1"/>
  <c r="D171" i="9"/>
  <c r="D172" i="9"/>
  <c r="F164" i="8"/>
  <c r="F165" i="8" s="1"/>
  <c r="E168" i="8"/>
  <c r="E169" i="8"/>
  <c r="E170" i="8" s="1"/>
  <c r="D171" i="8"/>
  <c r="D172" i="8"/>
  <c r="D41" i="4"/>
  <c r="C41" i="4"/>
  <c r="H164" i="7" l="1"/>
  <c r="H165" i="7" s="1"/>
  <c r="G169" i="7"/>
  <c r="G168" i="7"/>
  <c r="G170" i="7" s="1"/>
  <c r="F171" i="7"/>
  <c r="F171" i="6"/>
  <c r="G168" i="6"/>
  <c r="G170" i="6" s="1"/>
  <c r="G169" i="6"/>
  <c r="H164" i="6"/>
  <c r="H165" i="6" s="1"/>
  <c r="F171" i="5"/>
  <c r="F172" i="5" s="1"/>
  <c r="G169" i="5"/>
  <c r="G168" i="5"/>
  <c r="G170" i="5"/>
  <c r="H164" i="5"/>
  <c r="H165" i="5" s="1"/>
  <c r="E171" i="12"/>
  <c r="F168" i="12"/>
  <c r="F170" i="12"/>
  <c r="F169" i="12"/>
  <c r="G164" i="12"/>
  <c r="G165" i="12" s="1"/>
  <c r="J41" i="4"/>
  <c r="E171" i="11"/>
  <c r="F168" i="11"/>
  <c r="F170" i="11" s="1"/>
  <c r="F169" i="11"/>
  <c r="G164" i="11"/>
  <c r="G165" i="11" s="1"/>
  <c r="I41" i="4"/>
  <c r="E169" i="10"/>
  <c r="E170" i="10" s="1"/>
  <c r="E168" i="10"/>
  <c r="F164" i="10"/>
  <c r="F165" i="10" s="1"/>
  <c r="D171" i="10"/>
  <c r="D172" i="10" s="1"/>
  <c r="E171" i="9"/>
  <c r="F169" i="9"/>
  <c r="F168" i="9"/>
  <c r="F170" i="9" s="1"/>
  <c r="G164" i="9"/>
  <c r="G165" i="9" s="1"/>
  <c r="G41" i="4"/>
  <c r="G164" i="8"/>
  <c r="G165" i="8" s="1"/>
  <c r="F169" i="8"/>
  <c r="F168" i="8"/>
  <c r="F170" i="8" s="1"/>
  <c r="E172" i="8"/>
  <c r="E171" i="8"/>
  <c r="F42" i="4" s="1"/>
  <c r="F41" i="4"/>
  <c r="E42" i="4"/>
  <c r="D42" i="4"/>
  <c r="E172" i="6"/>
  <c r="C42" i="4"/>
  <c r="E172" i="5"/>
  <c r="I164" i="7" l="1"/>
  <c r="I165" i="7" s="1"/>
  <c r="H168" i="7"/>
  <c r="H169" i="7"/>
  <c r="H170" i="7" s="1"/>
  <c r="G171" i="7"/>
  <c r="E44" i="4" s="1"/>
  <c r="G172" i="7"/>
  <c r="G171" i="6"/>
  <c r="G172" i="6" s="1"/>
  <c r="H169" i="6"/>
  <c r="H168" i="6"/>
  <c r="H170" i="6" s="1"/>
  <c r="I164" i="6"/>
  <c r="I165" i="6" s="1"/>
  <c r="C43" i="4"/>
  <c r="G171" i="5"/>
  <c r="H169" i="5"/>
  <c r="H168" i="5"/>
  <c r="H170" i="5"/>
  <c r="I164" i="5"/>
  <c r="I165" i="5" s="1"/>
  <c r="F172" i="12"/>
  <c r="F171" i="12"/>
  <c r="G169" i="12"/>
  <c r="G168" i="12"/>
  <c r="G170" i="12" s="1"/>
  <c r="H164" i="12"/>
  <c r="H165" i="12" s="1"/>
  <c r="F171" i="11"/>
  <c r="G168" i="11"/>
  <c r="G170" i="11" s="1"/>
  <c r="G169" i="11"/>
  <c r="H164" i="11"/>
  <c r="H165" i="11" s="1"/>
  <c r="E171" i="10"/>
  <c r="F168" i="10"/>
  <c r="F169" i="10"/>
  <c r="F170" i="10" s="1"/>
  <c r="G164" i="10"/>
  <c r="G165" i="10" s="1"/>
  <c r="H41" i="4"/>
  <c r="F171" i="9"/>
  <c r="F172" i="9"/>
  <c r="G169" i="9"/>
  <c r="G168" i="9"/>
  <c r="G170" i="9" s="1"/>
  <c r="H164" i="9"/>
  <c r="H165" i="9" s="1"/>
  <c r="H164" i="8"/>
  <c r="H165" i="8" s="1"/>
  <c r="G169" i="8"/>
  <c r="G168" i="8"/>
  <c r="G170" i="8"/>
  <c r="F171" i="8"/>
  <c r="F172" i="8" s="1"/>
  <c r="E43" i="4"/>
  <c r="F172" i="7"/>
  <c r="D43" i="4"/>
  <c r="F172" i="6"/>
  <c r="J42" i="4"/>
  <c r="E172" i="12"/>
  <c r="I42" i="4"/>
  <c r="E172" i="11"/>
  <c r="G42" i="4"/>
  <c r="E172" i="9"/>
  <c r="J164" i="7" l="1"/>
  <c r="J165" i="7" s="1"/>
  <c r="I168" i="7"/>
  <c r="I169" i="7"/>
  <c r="I170" i="7"/>
  <c r="H172" i="7"/>
  <c r="H171" i="7"/>
  <c r="D44" i="4"/>
  <c r="H171" i="6"/>
  <c r="I168" i="6"/>
  <c r="I169" i="6"/>
  <c r="I170" i="6" s="1"/>
  <c r="J164" i="6"/>
  <c r="J165" i="6" s="1"/>
  <c r="H171" i="5"/>
  <c r="I169" i="5"/>
  <c r="I168" i="5"/>
  <c r="I170" i="5"/>
  <c r="J164" i="5"/>
  <c r="J165" i="5" s="1"/>
  <c r="J43" i="4"/>
  <c r="G171" i="12"/>
  <c r="G172" i="12"/>
  <c r="H169" i="12"/>
  <c r="H168" i="12"/>
  <c r="H170" i="12" s="1"/>
  <c r="I164" i="12"/>
  <c r="I165" i="12" s="1"/>
  <c r="G171" i="11"/>
  <c r="G172" i="11" s="1"/>
  <c r="H168" i="11"/>
  <c r="H170" i="11" s="1"/>
  <c r="H169" i="11"/>
  <c r="I164" i="11"/>
  <c r="I165" i="11" s="1"/>
  <c r="F171" i="10"/>
  <c r="F172" i="10" s="1"/>
  <c r="G168" i="10"/>
  <c r="G169" i="10"/>
  <c r="G170" i="10"/>
  <c r="H164" i="10"/>
  <c r="H165" i="10" s="1"/>
  <c r="G43" i="4"/>
  <c r="G171" i="9"/>
  <c r="H169" i="9"/>
  <c r="H170" i="9" s="1"/>
  <c r="H168" i="9"/>
  <c r="I164" i="9"/>
  <c r="I165" i="9" s="1"/>
  <c r="I164" i="8"/>
  <c r="I165" i="8" s="1"/>
  <c r="H169" i="8"/>
  <c r="H168" i="8"/>
  <c r="H170" i="8"/>
  <c r="G171" i="8"/>
  <c r="F43" i="4"/>
  <c r="C44" i="4"/>
  <c r="G172" i="5"/>
  <c r="I43" i="4"/>
  <c r="F172" i="11"/>
  <c r="H42" i="4"/>
  <c r="E172" i="10"/>
  <c r="K164" i="7" l="1"/>
  <c r="K165" i="7" s="1"/>
  <c r="J168" i="7"/>
  <c r="J169" i="7"/>
  <c r="J170" i="7" s="1"/>
  <c r="I171" i="7"/>
  <c r="E45" i="4"/>
  <c r="I171" i="6"/>
  <c r="J169" i="6"/>
  <c r="J168" i="6"/>
  <c r="J170" i="6" s="1"/>
  <c r="K164" i="6"/>
  <c r="K165" i="6" s="1"/>
  <c r="I171" i="5"/>
  <c r="I172" i="5" s="1"/>
  <c r="J169" i="5"/>
  <c r="J168" i="5"/>
  <c r="J170" i="5" s="1"/>
  <c r="K164" i="5"/>
  <c r="K165" i="5" s="1"/>
  <c r="H171" i="12"/>
  <c r="H172" i="12"/>
  <c r="I168" i="12"/>
  <c r="I169" i="12"/>
  <c r="I170" i="12" s="1"/>
  <c r="J164" i="12"/>
  <c r="J165" i="12" s="1"/>
  <c r="I44" i="4"/>
  <c r="H171" i="11"/>
  <c r="I168" i="11"/>
  <c r="I170" i="11" s="1"/>
  <c r="I169" i="11"/>
  <c r="J164" i="11"/>
  <c r="J165" i="11" s="1"/>
  <c r="H43" i="4"/>
  <c r="G171" i="10"/>
  <c r="H169" i="10"/>
  <c r="H168" i="10"/>
  <c r="H170" i="10"/>
  <c r="I164" i="10"/>
  <c r="I165" i="10" s="1"/>
  <c r="H171" i="9"/>
  <c r="I169" i="9"/>
  <c r="I168" i="9"/>
  <c r="I170" i="9" s="1"/>
  <c r="J164" i="9"/>
  <c r="J165" i="9" s="1"/>
  <c r="I169" i="8"/>
  <c r="I168" i="8"/>
  <c r="I170" i="8" s="1"/>
  <c r="J164" i="8"/>
  <c r="J165" i="8" s="1"/>
  <c r="H171" i="8"/>
  <c r="H172" i="8"/>
  <c r="D45" i="4"/>
  <c r="H172" i="6"/>
  <c r="C45" i="4"/>
  <c r="H172" i="5"/>
  <c r="J44" i="4"/>
  <c r="G44" i="4"/>
  <c r="G172" i="9"/>
  <c r="F44" i="4"/>
  <c r="G172" i="8"/>
  <c r="L164" i="7" l="1"/>
  <c r="L165" i="7" s="1"/>
  <c r="K168" i="7"/>
  <c r="K169" i="7"/>
  <c r="K170" i="7" s="1"/>
  <c r="J171" i="7"/>
  <c r="J172" i="7" s="1"/>
  <c r="J171" i="6"/>
  <c r="K168" i="6"/>
  <c r="K169" i="6"/>
  <c r="K170" i="6"/>
  <c r="L164" i="6"/>
  <c r="L165" i="6" s="1"/>
  <c r="C46" i="4"/>
  <c r="J171" i="5"/>
  <c r="K168" i="5"/>
  <c r="K169" i="5"/>
  <c r="K170" i="5" s="1"/>
  <c r="L164" i="5"/>
  <c r="L165" i="5" s="1"/>
  <c r="I171" i="12"/>
  <c r="J168" i="12"/>
  <c r="J170" i="12" s="1"/>
  <c r="J169" i="12"/>
  <c r="K164" i="12"/>
  <c r="K165" i="12" s="1"/>
  <c r="I171" i="11"/>
  <c r="J169" i="11"/>
  <c r="J168" i="11"/>
  <c r="J170" i="11" s="1"/>
  <c r="K164" i="11"/>
  <c r="K165" i="11" s="1"/>
  <c r="H171" i="10"/>
  <c r="I169" i="10"/>
  <c r="I168" i="10"/>
  <c r="I170" i="10"/>
  <c r="J164" i="10"/>
  <c r="J165" i="10" s="1"/>
  <c r="I171" i="9"/>
  <c r="J168" i="9"/>
  <c r="J170" i="9" s="1"/>
  <c r="J169" i="9"/>
  <c r="K164" i="9"/>
  <c r="K165" i="9" s="1"/>
  <c r="I171" i="8"/>
  <c r="J168" i="8"/>
  <c r="J170" i="8" s="1"/>
  <c r="J169" i="8"/>
  <c r="K164" i="8"/>
  <c r="K165" i="8" s="1"/>
  <c r="F45" i="4"/>
  <c r="E46" i="4"/>
  <c r="I172" i="7"/>
  <c r="D46" i="4"/>
  <c r="I172" i="6"/>
  <c r="J45" i="4"/>
  <c r="I45" i="4"/>
  <c r="H172" i="11"/>
  <c r="H44" i="4"/>
  <c r="G172" i="10"/>
  <c r="G45" i="4"/>
  <c r="H172" i="9"/>
  <c r="M164" i="7" l="1"/>
  <c r="M165" i="7" s="1"/>
  <c r="L169" i="7"/>
  <c r="L168" i="7"/>
  <c r="L170" i="7" s="1"/>
  <c r="K171" i="7"/>
  <c r="E47" i="4"/>
  <c r="K171" i="6"/>
  <c r="L169" i="6"/>
  <c r="L168" i="6"/>
  <c r="L170" i="6" s="1"/>
  <c r="M164" i="6"/>
  <c r="M165" i="6" s="1"/>
  <c r="K171" i="5"/>
  <c r="K172" i="5" s="1"/>
  <c r="M164" i="5"/>
  <c r="M165" i="5" s="1"/>
  <c r="L168" i="5"/>
  <c r="L170" i="5" s="1"/>
  <c r="L169" i="5"/>
  <c r="J171" i="12"/>
  <c r="J172" i="12" s="1"/>
  <c r="K168" i="12"/>
  <c r="K170" i="12" s="1"/>
  <c r="K169" i="12"/>
  <c r="L164" i="12"/>
  <c r="L165" i="12" s="1"/>
  <c r="J171" i="11"/>
  <c r="J172" i="11"/>
  <c r="K169" i="11"/>
  <c r="K168" i="11"/>
  <c r="K170" i="11"/>
  <c r="L164" i="11"/>
  <c r="L165" i="11" s="1"/>
  <c r="I171" i="10"/>
  <c r="I172" i="10" s="1"/>
  <c r="J169" i="10"/>
  <c r="J168" i="10"/>
  <c r="J170" i="10" s="1"/>
  <c r="K164" i="10"/>
  <c r="K165" i="10" s="1"/>
  <c r="J171" i="9"/>
  <c r="K169" i="9"/>
  <c r="K168" i="9"/>
  <c r="K170" i="9" s="1"/>
  <c r="L164" i="9"/>
  <c r="L165" i="9" s="1"/>
  <c r="J171" i="8"/>
  <c r="J172" i="8" s="1"/>
  <c r="K169" i="8"/>
  <c r="K168" i="8"/>
  <c r="K170" i="8" s="1"/>
  <c r="L164" i="8"/>
  <c r="L165" i="8" s="1"/>
  <c r="D47" i="4"/>
  <c r="J172" i="6"/>
  <c r="C47" i="4"/>
  <c r="J172" i="5"/>
  <c r="J46" i="4"/>
  <c r="I172" i="12"/>
  <c r="I46" i="4"/>
  <c r="I172" i="11"/>
  <c r="H45" i="4"/>
  <c r="H172" i="10"/>
  <c r="G46" i="4"/>
  <c r="I172" i="9"/>
  <c r="F46" i="4"/>
  <c r="I172" i="8"/>
  <c r="D16" i="7" l="1"/>
  <c r="M168" i="7"/>
  <c r="M169" i="7"/>
  <c r="N169" i="7" s="1"/>
  <c r="L171" i="7"/>
  <c r="L172" i="7"/>
  <c r="D14" i="7"/>
  <c r="E21" i="4"/>
  <c r="E35" i="4" s="1"/>
  <c r="E20" i="4"/>
  <c r="E34" i="4" s="1"/>
  <c r="D13" i="7"/>
  <c r="L171" i="6"/>
  <c r="L172" i="6" s="1"/>
  <c r="D16" i="6"/>
  <c r="M169" i="6"/>
  <c r="N169" i="6" s="1"/>
  <c r="M168" i="6"/>
  <c r="C48" i="4"/>
  <c r="D16" i="5"/>
  <c r="M169" i="5"/>
  <c r="N169" i="5" s="1"/>
  <c r="M168" i="5"/>
  <c r="C10" i="15"/>
  <c r="L171" i="5"/>
  <c r="J47" i="4"/>
  <c r="K171" i="12"/>
  <c r="K172" i="12"/>
  <c r="L169" i="12"/>
  <c r="L168" i="12"/>
  <c r="L170" i="12" s="1"/>
  <c r="M164" i="12"/>
  <c r="M165" i="12" s="1"/>
  <c r="K171" i="11"/>
  <c r="K172" i="11"/>
  <c r="L170" i="11"/>
  <c r="L168" i="11"/>
  <c r="L169" i="11"/>
  <c r="M164" i="11"/>
  <c r="M165" i="11" s="1"/>
  <c r="H46" i="4"/>
  <c r="J171" i="10"/>
  <c r="K169" i="10"/>
  <c r="K170" i="10" s="1"/>
  <c r="K168" i="10"/>
  <c r="L164" i="10"/>
  <c r="L165" i="10" s="1"/>
  <c r="K171" i="9"/>
  <c r="G48" i="4" s="1"/>
  <c r="K172" i="9"/>
  <c r="L168" i="9"/>
  <c r="L169" i="9"/>
  <c r="L170" i="9" s="1"/>
  <c r="M164" i="9"/>
  <c r="M165" i="9" s="1"/>
  <c r="F47" i="4"/>
  <c r="K171" i="8"/>
  <c r="L169" i="8"/>
  <c r="L168" i="8"/>
  <c r="L170" i="8" s="1"/>
  <c r="M164" i="8"/>
  <c r="M165" i="8" s="1"/>
  <c r="E48" i="4"/>
  <c r="K172" i="7"/>
  <c r="D48" i="4"/>
  <c r="K172" i="6"/>
  <c r="I47" i="4"/>
  <c r="G47" i="4"/>
  <c r="J172" i="9"/>
  <c r="E49" i="4" l="1"/>
  <c r="D49" i="4"/>
  <c r="D14" i="6"/>
  <c r="D21" i="4"/>
  <c r="D35" i="4" s="1"/>
  <c r="L171" i="12"/>
  <c r="D16" i="12"/>
  <c r="M168" i="12"/>
  <c r="M169" i="12"/>
  <c r="N169" i="12" s="1"/>
  <c r="L171" i="11"/>
  <c r="I49" i="4" s="1"/>
  <c r="L172" i="11"/>
  <c r="D16" i="11"/>
  <c r="M169" i="11"/>
  <c r="N169" i="11" s="1"/>
  <c r="M168" i="11"/>
  <c r="K171" i="10"/>
  <c r="L169" i="10"/>
  <c r="L168" i="10"/>
  <c r="L170" i="10" s="1"/>
  <c r="M164" i="10"/>
  <c r="M165" i="10" s="1"/>
  <c r="L171" i="9"/>
  <c r="L172" i="9" s="1"/>
  <c r="D16" i="9"/>
  <c r="M168" i="9"/>
  <c r="N168" i="9" s="1"/>
  <c r="M169" i="9"/>
  <c r="L171" i="8"/>
  <c r="D16" i="8"/>
  <c r="M169" i="8"/>
  <c r="N169" i="8" s="1"/>
  <c r="M168" i="8"/>
  <c r="N168" i="7"/>
  <c r="M170" i="7"/>
  <c r="N168" i="6"/>
  <c r="M170" i="6"/>
  <c r="C21" i="4"/>
  <c r="C35" i="4" s="1"/>
  <c r="D14" i="5"/>
  <c r="N168" i="5"/>
  <c r="M170" i="5"/>
  <c r="C49" i="4"/>
  <c r="L172" i="5"/>
  <c r="J48" i="4"/>
  <c r="I48" i="4"/>
  <c r="H47" i="4"/>
  <c r="J172" i="10"/>
  <c r="F48" i="4"/>
  <c r="K172" i="8"/>
  <c r="D14" i="12" l="1"/>
  <c r="J21" i="4"/>
  <c r="J35" i="4" s="1"/>
  <c r="D14" i="11"/>
  <c r="I21" i="4"/>
  <c r="I35" i="4" s="1"/>
  <c r="L171" i="10"/>
  <c r="L172" i="10" s="1"/>
  <c r="D16" i="10"/>
  <c r="M169" i="10"/>
  <c r="N169" i="10" s="1"/>
  <c r="M168" i="10"/>
  <c r="G49" i="4"/>
  <c r="D13" i="9"/>
  <c r="G20" i="4"/>
  <c r="G34" i="4" s="1"/>
  <c r="F21" i="4"/>
  <c r="F35" i="4" s="1"/>
  <c r="D14" i="8"/>
  <c r="M171" i="7"/>
  <c r="M172" i="7" s="1"/>
  <c r="N172" i="7" s="1"/>
  <c r="D17" i="7" s="1"/>
  <c r="N170" i="7"/>
  <c r="D20" i="4"/>
  <c r="D34" i="4" s="1"/>
  <c r="D13" i="6"/>
  <c r="M171" i="6"/>
  <c r="M172" i="6"/>
  <c r="N172" i="6" s="1"/>
  <c r="D17" i="6" s="1"/>
  <c r="N170" i="6"/>
  <c r="D13" i="5"/>
  <c r="C20" i="4"/>
  <c r="C34" i="4" s="1"/>
  <c r="M171" i="5"/>
  <c r="M172" i="5"/>
  <c r="N172" i="5" s="1"/>
  <c r="D17" i="5" s="1"/>
  <c r="N170" i="5"/>
  <c r="J49" i="4"/>
  <c r="L172" i="12"/>
  <c r="N168" i="12"/>
  <c r="M170" i="12"/>
  <c r="N168" i="11"/>
  <c r="M170" i="11"/>
  <c r="H48" i="4"/>
  <c r="K172" i="10"/>
  <c r="N169" i="9"/>
  <c r="M170" i="9"/>
  <c r="F49" i="4"/>
  <c r="L172" i="8"/>
  <c r="N168" i="8"/>
  <c r="M170" i="8"/>
  <c r="H49" i="4" l="1"/>
  <c r="D14" i="10"/>
  <c r="H21" i="4"/>
  <c r="H35" i="4" s="1"/>
  <c r="N171" i="7"/>
  <c r="E50" i="4"/>
  <c r="N171" i="6"/>
  <c r="D50" i="4"/>
  <c r="N171" i="5"/>
  <c r="D10" i="15"/>
  <c r="E10" i="15" s="1"/>
  <c r="C50" i="4"/>
  <c r="J20" i="4"/>
  <c r="J34" i="4" s="1"/>
  <c r="D13" i="12"/>
  <c r="M171" i="12"/>
  <c r="M172" i="12" s="1"/>
  <c r="N172" i="12" s="1"/>
  <c r="D17" i="12" s="1"/>
  <c r="N170" i="12"/>
  <c r="D13" i="11"/>
  <c r="I20" i="4"/>
  <c r="I34" i="4" s="1"/>
  <c r="M171" i="11"/>
  <c r="M172" i="11" s="1"/>
  <c r="N172" i="11" s="1"/>
  <c r="D17" i="11" s="1"/>
  <c r="N170" i="11"/>
  <c r="G21" i="4"/>
  <c r="G35" i="4" s="1"/>
  <c r="D14" i="9"/>
  <c r="M171" i="9"/>
  <c r="M172" i="9" s="1"/>
  <c r="N172" i="9" s="1"/>
  <c r="D17" i="9" s="1"/>
  <c r="N170" i="9"/>
  <c r="D13" i="8"/>
  <c r="F20" i="4"/>
  <c r="F34" i="4" s="1"/>
  <c r="M171" i="8"/>
  <c r="M172" i="8"/>
  <c r="N172" i="8" s="1"/>
  <c r="D17" i="8" s="1"/>
  <c r="N170" i="8"/>
  <c r="N168" i="10"/>
  <c r="M170" i="10"/>
  <c r="D8" i="7" l="1"/>
  <c r="E22" i="4"/>
  <c r="D7" i="7"/>
  <c r="D7" i="6"/>
  <c r="D22" i="4"/>
  <c r="D8" i="6"/>
  <c r="D8" i="5"/>
  <c r="C22" i="4"/>
  <c r="D7" i="5"/>
  <c r="N171" i="12"/>
  <c r="J50" i="4"/>
  <c r="N171" i="11"/>
  <c r="I50" i="4"/>
  <c r="N171" i="9"/>
  <c r="G50" i="4"/>
  <c r="N171" i="8"/>
  <c r="F50" i="4"/>
  <c r="H20" i="4"/>
  <c r="H34" i="4" s="1"/>
  <c r="D13" i="10"/>
  <c r="M171" i="10"/>
  <c r="M172" i="10" s="1"/>
  <c r="N172" i="10" s="1"/>
  <c r="D17" i="10" s="1"/>
  <c r="N170" i="10"/>
  <c r="E36" i="4" l="1"/>
  <c r="E37" i="4"/>
  <c r="E25" i="4"/>
  <c r="E24" i="4"/>
  <c r="D36" i="4"/>
  <c r="D37" i="4"/>
  <c r="D25" i="4"/>
  <c r="D24" i="4"/>
  <c r="C36" i="4"/>
  <c r="C37" i="4"/>
  <c r="C25" i="4"/>
  <c r="C24" i="4"/>
  <c r="D7" i="12"/>
  <c r="J22" i="4"/>
  <c r="D8" i="12"/>
  <c r="D7" i="11"/>
  <c r="I22" i="4"/>
  <c r="D8" i="11"/>
  <c r="D7" i="9"/>
  <c r="G22" i="4"/>
  <c r="D8" i="9"/>
  <c r="F22" i="4"/>
  <c r="D7" i="8"/>
  <c r="D8" i="8"/>
  <c r="N171" i="10"/>
  <c r="H50" i="4"/>
  <c r="J36" i="4" l="1"/>
  <c r="J37" i="4"/>
  <c r="J25" i="4"/>
  <c r="J24" i="4"/>
  <c r="I36" i="4"/>
  <c r="I37" i="4"/>
  <c r="I25" i="4"/>
  <c r="I24" i="4"/>
  <c r="G36" i="4"/>
  <c r="G37" i="4"/>
  <c r="G25" i="4"/>
  <c r="G24" i="4"/>
  <c r="F36" i="4"/>
  <c r="F37" i="4"/>
  <c r="F25" i="4"/>
  <c r="F24" i="4"/>
  <c r="D8" i="10"/>
  <c r="D7" i="10"/>
  <c r="H22" i="4"/>
  <c r="H36" i="4" l="1"/>
  <c r="H25" i="4"/>
  <c r="H37" i="4"/>
  <c r="H24" i="4"/>
</calcChain>
</file>

<file path=xl/sharedStrings.xml><?xml version="1.0" encoding="utf-8"?>
<sst xmlns="http://schemas.openxmlformats.org/spreadsheetml/2006/main" count="5219" uniqueCount="901">
  <si>
    <t>PARC calculation tool with worked scenarios</t>
  </si>
  <si>
    <t>Release date</t>
  </si>
  <si>
    <t>Version</t>
  </si>
  <si>
    <t>1.0</t>
  </si>
  <si>
    <t>Production and Application for the Removal of Carbon via Biochar (PARC)</t>
  </si>
  <si>
    <t>Worked scenarios for the three compliance tracks, the three end-use modules and the feedstock modules of the methodology, with ten annual monitoring periods each, and the defaults, helpers and checks that support them. Supporting file to the methodology; the methodology governs.</t>
  </si>
  <si>
    <t>PARC Calculation Tool: Worked Scenarios</t>
  </si>
  <si>
    <t>Purpose</t>
  </si>
  <si>
    <t>This workbook shows, step by step, how the equations of PARC Version 1.0 are applied: the activity removals of Section 8, the activity emissions of Section 9, the leakage of Section 10, the net removals, efficiency check, reversal-risk deduction, downward adjustment and issuance of Section 11, with the defaults of Annexes 5 to 8. Each scenario sheet runs ten annual monitoring periods. An activity developer replaces the blue inputs of the closest scenario with the activity's own values and reads the results.</t>
  </si>
  <si>
    <t>Status of this workbook</t>
  </si>
  <si>
    <t>The scenarios are illustrative. Input values are hypothetical unless they are default values of the methodology, and are chosen so that each scenario shows a positive outcome under its track and modules; changing them shows the consequence of the methodology's provisions, including negative outcomes. Emission factors for fuel, electricity and freight and the downward adjustment factor are placeholders to be replaced by the values published in the GS4GG and Article 6.4 tools for the host country and year. The methodology governs where this workbook and the methodology differ.</t>
  </si>
  <si>
    <t>How to read the workbook</t>
  </si>
  <si>
    <t>Sheet</t>
  </si>
  <si>
    <t>Content</t>
  </si>
  <si>
    <t>Guide</t>
  </si>
  <si>
    <t>How to use the tool, the structure of the scenario sheets, the scenario table and the equation map.</t>
  </si>
  <si>
    <t>Summary</t>
  </si>
  <si>
    <t>Results of the eight scenarios side by side; where the stored carbon goes; issuance by period.</t>
  </si>
  <si>
    <t>S1 T1 Distributed default</t>
  </si>
  <si>
    <t>Track 1, Module F3 invasive shrub, Module A1 soil: every Track 1 default.</t>
  </si>
  <si>
    <t>S1M T1 Distributed measured</t>
  </si>
  <si>
    <t>Scenario 1 with the measurements Track 1 permits: laboratory carbon and H:Corg, metered moisture, evidenced soil temperature, measured methane factor.</t>
  </si>
  <si>
    <t>S2 T2 Mechanised soil</t>
  </si>
  <si>
    <t>Track 2, Module F2 nutshells, Module A1: thermal proxy, metered pre-processing, Annex 7 risk tool, fixed deductions.</t>
  </si>
  <si>
    <t>S2M T2 Calculated route</t>
  </si>
  <si>
    <t>Scenario 2 weighing at placement and electing the calculated uncertainty route.</t>
  </si>
  <si>
    <t>S3 T3 Industrial soil</t>
  </si>
  <si>
    <t>Track 3, Module F2 sawmill residues, Module A1: continuous methane measurement, calculated uncertainty, inventory-based embodied emissions.</t>
  </si>
  <si>
    <t>S4 T1 Field residue F1</t>
  </si>
  <si>
    <t>Track 1, Module F1 maize stover, Module A1: weighed residue, retention floor, ecological leakage by alternative fate, same-field return.</t>
  </si>
  <si>
    <t>S5 T2 Concrete A2</t>
  </si>
  <si>
    <t>Track 2, Module F2 woody residues, Module A2 concrete: Method 3 permanence, fixed 3% cancellation, weighed at intake.</t>
  </si>
  <si>
    <t>S6 T3 Biosolids vault A3</t>
  </si>
  <si>
    <t>Track 3, Module F6 biosolids, Module A3 vault: activity-specific storage methane, Method 3, buffer contribution.</t>
  </si>
  <si>
    <t>Annex 7</t>
  </si>
  <si>
    <t>The reversal risk assessment tool of Annex 7: the ten site criteria for each scenario (blue), Steps 1–4 and the resulting rate, which the scenario sheets source in Part A2; the reference values of Tables 25–29.</t>
  </si>
  <si>
    <t>Helpers</t>
  </si>
  <si>
    <t>Worked calculations: sampling uncertainty and the product and addition rules (Eq 31–34), the Method 2 factor (Eq 8), Module F1 leakage by fate, the storage rate, an Eq 30 reversal.</t>
  </si>
  <si>
    <t>Checks</t>
  </si>
  <si>
    <t>Re-derivation of defaults and internal consistency checks.</t>
  </si>
  <si>
    <t>Defaults</t>
  </si>
  <si>
    <t>Default values and constants of PARC Version 1.0, with the section, table or annex of origin. Linked into the scenario sheets.</t>
  </si>
  <si>
    <t>Lists</t>
  </si>
  <si>
    <t>Values of the dropdown selectors.</t>
  </si>
  <si>
    <t>Colour conventions</t>
  </si>
  <si>
    <t>Blue figures are illustrative inputs. They may be changed to explore the calculations; dropdown cells select the options of the methodology.</t>
  </si>
  <si>
    <t>Black figures are calculated by formula and should not be overwritten.</t>
  </si>
  <si>
    <t>Green figures are linked from the Defaults sheet.</t>
  </si>
  <si>
    <t>Rows shaded light yellow are the principal results of each step.</t>
  </si>
  <si>
    <t>Conventions and simplifications</t>
  </si>
  <si>
    <t>Units: biochar and biomass in tonnes (dry or wet as labelled); emissions and removals in tonnes of carbon dioxide equivalent (tCO2e) at GWP100 (AR5); fractions as decimals.</t>
  </si>
  <si>
    <t>Calculations are unrounded; figures are displayed rounded. Period 1 is the first annual monitoring period of the crediting period; the embodied-emission default of Section 10.4 applies to the periods of the first crediting period as set in Part A.</t>
  </si>
  <si>
    <t>The efficiency check (Section 11.4) is applied per period on the carbon stored before the Section 8 adjustments over the activity emissions before the Section 9.7 adjustment. Where it fails, nothing is issued and the positive balance is banked to the next period; a negative balance is carried as a deficit (Section 11.3).</t>
  </si>
  <si>
    <t>Reversal-risk rates: Track 1 soil and Module A2 take the fixed rates of Table 14 (cancelled at issuance); Module A3 the Table 13 default (buffer deposit); Module A1 under Tracks 2 and 3 the Annex 7 tool, answered by the criteria in Part A2 of each scenario, floored at 2.5%. The Annex 7 assessment is mandatory for Module A1 under Tracks 2 and 3; where a criterion cannot be evidenced the addition applies.</t>
  </si>
  <si>
    <t>The small-hub pre-processing default (0.082 tCO2e per dry tonne of feedstock) is selectable in Part D. It is deliberately conservative: on feedstocks of low carbon content and low yield it can fail the efficiency check on its own, which is why the scenarios meter pre-processing.</t>
  </si>
  <si>
    <t>Additionality, the surplus test, the feedstock negative list, sustainable-development and safeguard requirements are assumed to be met unless a scenario says otherwise.</t>
  </si>
  <si>
    <t>Guide to the calculation tool (methodology Version 1.0)</t>
  </si>
  <si>
    <t>1. How to use the tool</t>
  </si>
  <si>
    <t>Step 1</t>
  </si>
  <si>
    <t>Save a copy of the workbook for the activity and choose the scenario sheet closest to it (track, end-use module, feedstock module).</t>
  </si>
  <si>
    <t>Step 2</t>
  </si>
  <si>
    <t>Part A: set the track, modules, soil temperature, crediting-period length and the uncertainty route. Part A2 sources the reversal-risk rate: for Module A1 under Tracks 2 and 3, answer the ten Annex 7 criteria for the scenario on the Annex 7 sheet; the fixed rates of Table 25 apply to the other sinks.</t>
  </si>
  <si>
    <t>Step 3</t>
  </si>
  <si>
    <t>Part B: feedstock class, biomass-input basis, surplus test and prior use, Module F1 alternative fate, retention and nutrient contents, storage basis.</t>
  </si>
  <si>
    <t>Step 4</t>
  </si>
  <si>
    <t>Part C: biochar moisture and organic carbon basis and values, H:Corg, permanence method, placement and whether the biochar is weighed at placement or intake.</t>
  </si>
  <si>
    <t>Step 5</t>
  </si>
  <si>
    <t>Part D and Part E: methane option, emission factors for fuel, electricity and freight, pre-processing basis, embodied-emission route.</t>
  </si>
  <si>
    <t>Step 6</t>
  </si>
  <si>
    <t>Part F: enter the activity data for each monitoring period (biochar placed, biomass input, storage months, excursions, measured methane, fuel, electricity, transport, diverted biomass). Leave a period at 0 if not operating.</t>
  </si>
  <si>
    <t>Step 7</t>
  </si>
  <si>
    <t>Read the key results at the top of the sheet, the input checks, and the Summary sheet.</t>
  </si>
  <si>
    <t>2. Structure of each scenario sheet</t>
  </si>
  <si>
    <t>Key results</t>
  </si>
  <si>
    <t>Totals over the ten periods: removals issued, per tonne of dry biochar, removals, emissions, leakage, risk and downward-adjustment deductions, periods failing the efficiency check or in deficit, removals above the Track 1 cap, input checks.</t>
  </si>
  <si>
    <t>Part A</t>
  </si>
  <si>
    <t>Activity settings and the uncertainty route (Sections 3.2, 8.5, 10.4, 11.6, 13).</t>
  </si>
  <si>
    <t>Part A2</t>
  </si>
  <si>
    <t>Reversal-risk rate: fixed rates of Tables 13 and 14, or the Annex 7 result sourced from the Annex 7 sheet for Module A1 under Tracks 2 and 3 (mandatory).</t>
  </si>
  <si>
    <t>Part B</t>
  </si>
  <si>
    <t>Feedstock: class defaults (Tables 20–21), biomass input (Eq 6), surplus test and market leakage (Table 12), Module F1 fate, retention and nutrients (Section 10.6, Annex 8), storage basis (Section 9.3).</t>
  </si>
  <si>
    <t>Part C</t>
  </si>
  <si>
    <t>Biochar quality: moisture, organic carbon, H:Corg, permanence (Method 1 Table 24, Method 2 Eq 8, Method 3), placement and application loss (Table 9), application cap (Section 3.4).</t>
  </si>
  <si>
    <t>Part D</t>
  </si>
  <si>
    <t>Emission factors and the methane option (Section 9.4 Options A and B, thermal proxy, continuous measurement).</t>
  </si>
  <si>
    <t>Part E</t>
  </si>
  <si>
    <t>Embodied-emission route (Section 10.4).</t>
  </si>
  <si>
    <t>Part F</t>
  </si>
  <si>
    <t>Period-by-period inputs and the full equation chain: Eq 5, Eq 9–19, Eq 20–23, Eq 24–29, with deficit carry-over, the efficiency check, the Track 1 cap and banking.</t>
  </si>
  <si>
    <t>3. Scenarios</t>
  </si>
  <si>
    <t>Setting</t>
  </si>
  <si>
    <t>Demonstrates</t>
  </si>
  <si>
    <t>Track / modules</t>
  </si>
  <si>
    <t>Kiln network clearing an invasive shrub; biochar to smallholder fields; every Track 1 default</t>
  </si>
  <si>
    <t>The all-default route: Table 21 carbon, 0.40 column, 25 °C, Table 22 methane, yield route, fixed 10% cancellation, 5% deductions, embodied default</t>
  </si>
  <si>
    <t>T1 / F3 / A1</t>
  </si>
  <si>
    <t>Same network with composite-sample analysis, metered moisture, evidenced soil temperature, measured methane factor</t>
  </si>
  <si>
    <t>What testing is worth on Track 1; the Option B methane floor</t>
  </si>
  <si>
    <t>Cashew-processing cooperative, two mechanised units, shells screened at a metered hub, mechanical spreading</t>
  </si>
  <si>
    <t>Thermal proxy and excursion penalty; metered pre-processing (the small-hub default selectable); Annex 7 risk tool; fixed 5% deductions; nutshell class</t>
  </si>
  <si>
    <t>T2 / F2 / A1</t>
  </si>
  <si>
    <t>Same cooperative weighing at placement and electing the calculated uncertainty route</t>
  </si>
  <si>
    <t>Zero application loss where weighed at placement; Eq 31–34 replacing the fixed deduction on removals</t>
  </si>
  <si>
    <t>Industrial plant on sawmill residues, contractors applying to farmland</t>
  </si>
  <si>
    <t>Continuous methane measurement, metered energy, inventory-based embodied emissions, calculated uncertainty on removals and emissions, Annex 7 at scale</t>
  </si>
  <si>
    <t>T3 / F2 / A1</t>
  </si>
  <si>
    <t>Village kilns on maize stover that would otherwise be burned in the field, biochar returned mostly to the same fields</t>
  </si>
  <si>
    <t>Weighed field residue, retention floor, ecological leakage by alternative fate (toggle in Part B), same-field return, Track 1 with laboratory carbon</t>
  </si>
  <si>
    <t>T1 / F1 / A1</t>
  </si>
  <si>
    <t>Joinery-waste unit delivering biochar to a concrete batch plant</t>
  </si>
  <si>
    <t>Method 3 fixed permanence, fixed 3% cancellation, weighed at intake, thermal proxy</t>
  </si>
  <si>
    <t>T2 / F2 / A2</t>
  </si>
  <si>
    <t>Utility pyrolysing sewage sludge, biochar to a sealed earth vault</t>
  </si>
  <si>
    <t>Module F6 and A3; activity-specific storage methane; biosolids carbon; Method 3; buffer contribution</t>
  </si>
  <si>
    <t>T3 / F6 / A3</t>
  </si>
  <si>
    <t>4. Equation map</t>
  </si>
  <si>
    <t>Eq 1–4</t>
  </si>
  <si>
    <t>Crediting baseline removals: zero unless a legal mandate exists (BR_BAU = mandated volume × enforcement factor)</t>
  </si>
  <si>
    <t>Section 7</t>
  </si>
  <si>
    <t>Eq 5</t>
  </si>
  <si>
    <t>AR = Σ Q_biochar × (1 − MC) × Corg × F_perm × (1 − L_app) × 44/12 × (1 − UNC_AR)</t>
  </si>
  <si>
    <t>Section 8.2</t>
  </si>
  <si>
    <t>Eq 6</t>
  </si>
  <si>
    <t>Q_biomass = Q_biochar,dry / Y_default (not Module F1)</t>
  </si>
  <si>
    <t>Section 8.3</t>
  </si>
  <si>
    <t>Eq 7, Table 24</t>
  </si>
  <si>
    <t>F_perm by soil temperature (rounded up, 7–40 °C) and H:Corg column (next higher; 0.20–0.50)</t>
  </si>
  <si>
    <t>Section 8.5; Annex 6</t>
  </si>
  <si>
    <t>Eq 8</t>
  </si>
  <si>
    <t>Method 2: F_perm = max(0, min(0.95, (R̄₀ − s) × (C̄ − s)))</t>
  </si>
  <si>
    <t>Section 8.5</t>
  </si>
  <si>
    <t>Helpers H3</t>
  </si>
  <si>
    <t>Eq 9</t>
  </si>
  <si>
    <t>AE = (AE_supply + AE_prod + AE_trans + AE_app) × (1 + UNC_AE)</t>
  </si>
  <si>
    <t>Section 9.2</t>
  </si>
  <si>
    <t>Eq 10</t>
  </si>
  <si>
    <t>AE_storage = Σ M_dry × C_frac × 0.0013 × (16.04/12.01) × GWP × max(0, months − 1)</t>
  </si>
  <si>
    <t>Section 9.3</t>
  </si>
  <si>
    <t>Eq 11–12</t>
  </si>
  <si>
    <t>AE_supply = AE_pre-proc + AE_cultivation; pre-processing metered or 0.082 per dry tonne (small hub)</t>
  </si>
  <si>
    <t>Eq 13–17</t>
  </si>
  <si>
    <t>AE_prod = AE_energy + AE_CH4; methane by class factor, Option B factor, thermal proxy (0.15 × excursion mass) or continuous measurement</t>
  </si>
  <si>
    <t>Section 9.4</t>
  </si>
  <si>
    <t>Part D, F</t>
  </si>
  <si>
    <t>Eq 18</t>
  </si>
  <si>
    <t>AE_trans = Σ distance × mass × EF_trans</t>
  </si>
  <si>
    <t>Section 9.5</t>
  </si>
  <si>
    <t>Eq 19</t>
  </si>
  <si>
    <t>AE_app = Σ fuel × NCV × EF + AE_SOC-loss</t>
  </si>
  <si>
    <t>Section 9.6</t>
  </si>
  <si>
    <t>Eq 20–23</t>
  </si>
  <si>
    <t>LE = (embodied + market + ecological + shift) × (1 + UNC_LE); embodied per tonne (Option A, first crediting period) or inventory (Option B); market = diverted mass × replacement factor</t>
  </si>
  <si>
    <t>Section 10</t>
  </si>
  <si>
    <t>Part E, F</t>
  </si>
  <si>
    <t>Eq 23a</t>
  </si>
  <si>
    <t>Ecological leakage (F1) by fate: retained — F_SOC + N + (1 − same-field share)(P + K); burned — (1 − share)(P + K); removed — none; nutrient contents from Table 31a or measured (Track 3)</t>
  </si>
  <si>
    <t>Section 10.6; Annex 8 Tables 31, 31a</t>
  </si>
  <si>
    <t>Part F; Helpers H4</t>
  </si>
  <si>
    <t>Eq 24–25</t>
  </si>
  <si>
    <t>Deductions = AE + LE; NET = AR − BR − Deductions − deficit carried</t>
  </si>
  <si>
    <t>Section 11.2–11.3</t>
  </si>
  <si>
    <t>Eq 26</t>
  </si>
  <si>
    <t>NCER = Q_dry × Corg × 44/12 ÷ (AE_supply + AE_prod + AE_trans + AE_app) ≥ 5, per period; below 5 the positive balance is banked</t>
  </si>
  <si>
    <t>Section 11.4</t>
  </si>
  <si>
    <t>Eq 27–29</t>
  </si>
  <si>
    <t>Risk = max(0, NET) × Rate_risk; DAF deduction = NET × DAF; issued = NET − Risk − DAF; Track 1 capped at 60,000 per activity or VPA</t>
  </si>
  <si>
    <t>Section 11.5–11.7; Section 3.2</t>
  </si>
  <si>
    <t>Eq 30</t>
  </si>
  <si>
    <t>Reversal = Σ area × density × Corg × F_perm × DF × 44/12</t>
  </si>
  <si>
    <t>Section 12.4</t>
  </si>
  <si>
    <t>Helpers H6</t>
  </si>
  <si>
    <t>Eq 31–34</t>
  </si>
  <si>
    <t>Sampling uncertainty; product rule; addition rule; deduction = max(0, U_calc − threshold)</t>
  </si>
  <si>
    <t>Section 13.3</t>
  </si>
  <si>
    <t>Part A; Helpers H1–H2</t>
  </si>
  <si>
    <t>Summary of scenario results (ten annual monitoring periods)</t>
  </si>
  <si>
    <t>All figures are calculated in the scenario sheets from hypothetical inputs. The scenarios demonstrate the options of the methodology; they are not activities.</t>
  </si>
  <si>
    <t>Result</t>
  </si>
  <si>
    <t>Track</t>
  </si>
  <si>
    <t>End-use module</t>
  </si>
  <si>
    <t>Feedstock module</t>
  </si>
  <si>
    <t>Organic carbon applied</t>
  </si>
  <si>
    <t>H:Corg applied / column</t>
  </si>
  <si>
    <t>Soil temperature applied (°C)</t>
  </si>
  <si>
    <t>Permanence factor applied</t>
  </si>
  <si>
    <t>Application loss applied</t>
  </si>
  <si>
    <t>Uncertainty deduction on removals</t>
  </si>
  <si>
    <t>Reversal-risk rate applied</t>
  </si>
  <si>
    <t>Dry biochar placed, ten periods (t)</t>
  </si>
  <si>
    <t>Carbon stored before adjustments (tCO2e)</t>
  </si>
  <si>
    <t>Activity removals, Eq 5 (tCO2e)</t>
  </si>
  <si>
    <t>Activity emissions, Eq 9 (tCO2e)</t>
  </si>
  <si>
    <t>Leakage, Eq 20 (tCO2e)</t>
  </si>
  <si>
    <t>Reversal-risk deductions or buffer (tCO2e)</t>
  </si>
  <si>
    <t>Downward adjustment (tCO2e)</t>
  </si>
  <si>
    <t>Removals issued (tCO2e)</t>
  </si>
  <si>
    <t>Periods failing the efficiency check</t>
  </si>
  <si>
    <t>Removals issued per tonne of dry biochar (tCO2e/t)</t>
  </si>
  <si>
    <t>Removals issued as a share of carbon stored before adjustments</t>
  </si>
  <si>
    <t>Where the carbon goes: share of carbon stored before adjustments (ten periods)</t>
  </si>
  <si>
    <t>Component</t>
  </si>
  <si>
    <t>Permanence (1 − F_perm)</t>
  </si>
  <si>
    <t>Application loss</t>
  </si>
  <si>
    <t>Activity emissions</t>
  </si>
  <si>
    <t>Leakage</t>
  </si>
  <si>
    <t>Reversal-risk deduction or buffer</t>
  </si>
  <si>
    <t>Downward adjustment</t>
  </si>
  <si>
    <t>Withheld (efficiency failures, deficits, Track 1 cap)</t>
  </si>
  <si>
    <t>Issued</t>
  </si>
  <si>
    <t>Removals issued by monitoring period (tCO2e)</t>
  </si>
  <si>
    <t>Period</t>
  </si>
  <si>
    <t>Scenario 1. Track 1 — distributed flame-curtain kilns, invasive woody shrub (Module F3), soil application, all-default route</t>
  </si>
  <si>
    <t>PARC Version 1.0. Illustrative scenario; inputs are hypothetical.</t>
  </si>
  <si>
    <t>A hypothetical aggregator runs a network of about 300 flame-curtain kilns clearing an invasive woody shrub from rangeland in a semi-arid region (Module F3) and returns the biochar to smallholder fields (Module A1, precision manual placement). The activity takes every Track 1 default: organic carbon 0.55 for the woody class, the 0.40 H:Corg column, the 25 °C soil-temperature default, the Table 22 dry-class methane factor, the 0.15 moisture default for soil-quenched biochar, the yield default for biomass input, the 0.02 embodied default, the 10% fixed reversal cancellation and the 5% uncertainty deductions. Production ramps from 600 to 1,500 t of wet biochar a year. Feedstock is surplus; transport is by pick-up over short distances.</t>
  </si>
  <si>
    <t>Key results (ten annual monitoring periods)</t>
  </si>
  <si>
    <t>Parameter</t>
  </si>
  <si>
    <t>Symbol</t>
  </si>
  <si>
    <t>Value</t>
  </si>
  <si>
    <t>Unit</t>
  </si>
  <si>
    <t>Reference and note</t>
  </si>
  <si>
    <t>Removals issued, ten periods</t>
  </si>
  <si>
    <t>tCO2e</t>
  </si>
  <si>
    <t>Eq 29</t>
  </si>
  <si>
    <t>Removals issued per tonne of dry biochar</t>
  </si>
  <si>
    <t>tCO2e / t</t>
  </si>
  <si>
    <t>Dry biochar placed, ten periods</t>
  </si>
  <si>
    <t>t dry</t>
  </si>
  <si>
    <t>Activity removals (Eq 5)</t>
  </si>
  <si>
    <t>Activity emissions (Eq 9)</t>
  </si>
  <si>
    <t>Leakage emissions (Eq 20)</t>
  </si>
  <si>
    <t>Section 10.3</t>
  </si>
  <si>
    <t>Reversal-risk deductions or buffer contributions (Eq 27)</t>
  </si>
  <si>
    <t>Section 11.5</t>
  </si>
  <si>
    <t>Downward adjustment (Eq 28)</t>
  </si>
  <si>
    <t>Section 11.6</t>
  </si>
  <si>
    <t>Periods failing the efficiency check (NCER &lt; 5)</t>
  </si>
  <si>
    <t>periods</t>
  </si>
  <si>
    <t>Periods in emission deficit (net removals below zero)</t>
  </si>
  <si>
    <t>Section 11.3</t>
  </si>
  <si>
    <t>Removals above the Track 1 cap</t>
  </si>
  <si>
    <t>Section 3.2</t>
  </si>
  <si>
    <t>Input checks</t>
  </si>
  <si>
    <t>Part A. Activity settings</t>
  </si>
  <si>
    <t>Compliance track</t>
  </si>
  <si>
    <t>Track 1</t>
  </si>
  <si>
    <t>Section 3.2; Table 3</t>
  </si>
  <si>
    <t>A1: Soil</t>
  </si>
  <si>
    <t>Annex 3</t>
  </si>
  <si>
    <t>F3: Restorative (invasive)</t>
  </si>
  <si>
    <t>Annex 1</t>
  </si>
  <si>
    <t>Host country (hypothetical setting)</t>
  </si>
  <si>
    <t>Semi-arid rangeland, East Africa (hypothetical)</t>
  </si>
  <si>
    <t>Length of the first crediting period</t>
  </si>
  <si>
    <t>years</t>
  </si>
  <si>
    <t>Section 10.4. Embodied-emission defaults (Option A) apply to biochar produced in the first crediting period only.</t>
  </si>
  <si>
    <t>Mean annual soil temperature of the application site (blank: Track 1 default)</t>
  </si>
  <si>
    <t>MAST</t>
  </si>
  <si>
    <t>°C</t>
  </si>
  <si>
    <t>Section 8.5; Annex 6. Tracks 2 and 3: gridded dataset at the site centroid, fixed at design certification. Track 1 may evidence a lower site value than the 25 °C default.</t>
  </si>
  <si>
    <t>Soil temperature applied (rounded up; tabulated range 7–40 °C)</t>
  </si>
  <si>
    <t>Annex 6 Table 24</t>
  </si>
  <si>
    <t>Downward adjustment factor for the periods (MT400-05)</t>
  </si>
  <si>
    <t>DAF</t>
  </si>
  <si>
    <t>fraction</t>
  </si>
  <si>
    <t>Section 11.6; Eq 28. Published for the host country and period in MT400-05; 0.0125 is the illustrative value in Section 11.6. Overwrite per period in Part F if the published factor changes.</t>
  </si>
  <si>
    <t>Global warming potential of methane</t>
  </si>
  <si>
    <t>GWP_CH4</t>
  </si>
  <si>
    <t>tCO2e/tCH4</t>
  </si>
  <si>
    <t>PARC 1</t>
  </si>
  <si>
    <t>Track 2: calculated uncertainty route elected for removals (platform-scale weighing and laboratory Corg)?</t>
  </si>
  <si>
    <t>No</t>
  </si>
  <si>
    <t>Section 13.1. Election at design certification, per parameter, not reversible within the crediting period. Fixed deductions continue to apply to the thermal proxy and composite sampling.</t>
  </si>
  <si>
    <t>Measured parameters at 95% confidence: biochar mass (instrument precision)</t>
  </si>
  <si>
    <t>U_mass</t>
  </si>
  <si>
    <t>Section 13.3; Eq 32</t>
  </si>
  <si>
    <t>Measured parameters at 95% confidence: moisture</t>
  </si>
  <si>
    <t>U_MC</t>
  </si>
  <si>
    <t>Section 13.3; Eq 31–32</t>
  </si>
  <si>
    <t>Measured parameters at 95% confidence: organic carbon (sampling, Eq 31)</t>
  </si>
  <si>
    <t>U_Corg</t>
  </si>
  <si>
    <t>Section 13.3; Eq 31–32. Use the Helpers sheet to derive the sampling uncertainty from n, mean and standard deviation.</t>
  </si>
  <si>
    <t>Aggregate uncertainty of removals, product rule</t>
  </si>
  <si>
    <t>U_calc</t>
  </si>
  <si>
    <t>Eq 32</t>
  </si>
  <si>
    <t>Track 3: aggregate uncertainty of activity emissions (addition rule, Eq 33)</t>
  </si>
  <si>
    <t>Section 13.3; Eq 33. Invoiced utility parameters carry zero uncertainty; published emission factors are applied at face value.</t>
  </si>
  <si>
    <t>Uncertainty deduction on removals applied</t>
  </si>
  <si>
    <t>UNC_AR</t>
  </si>
  <si>
    <t>Table 10; Table 16; Eq 34</t>
  </si>
  <si>
    <t>Uncertainty deduction on activity emissions applied</t>
  </si>
  <si>
    <t>UNC_AE</t>
  </si>
  <si>
    <t>Table 16; Eq 34</t>
  </si>
  <si>
    <t>Uncertainty on leakage (0 with default factors; 15% with site-specific factors, Tracks 2–3)</t>
  </si>
  <si>
    <t>UNC_LE</t>
  </si>
  <si>
    <t>Table 16; Section 10.8</t>
  </si>
  <si>
    <t>Part A2. Reversal-risk rate (Section 12.2; Annex 7 sheet for Module A1 under Tracks 2 and 3)</t>
  </si>
  <si>
    <t>Step 2: risk additions (from the Annex 7 sheet)</t>
  </si>
  <si>
    <t>Annex 7 Table 27. Answer the ten criteria for this scenario on the Annex 7 sheet; the result is sourced here.</t>
  </si>
  <si>
    <t>Step 3: verified mitigation discounts (from the Annex 7 sheet)</t>
  </si>
  <si>
    <t>Annex 7 Table 28</t>
  </si>
  <si>
    <t>Step 4: Annex 7 rate, base risk + additions − mitigations, floored at 2.5%</t>
  </si>
  <si>
    <t>Rate_risk</t>
  </si>
  <si>
    <t>Annex 7 Steps 1–4; Table 29</t>
  </si>
  <si>
    <t>Track 2, Module A1: settlement route</t>
  </si>
  <si>
    <t>Buffer deposit — monitorable site (Annex 7 rate)</t>
  </si>
  <si>
    <t>Section 11.5; Table 14. A Track 2 Module A1 activity whose biochar is applied across smallholder plots that cannot be monitored individually settles by cancellation at the Track 1 rate and applies the Sentinel Site protocol (Section 16.3). Ignored for other tracks and modules.</t>
  </si>
  <si>
    <t>Tables 13–14; Section 11.5. Track 1 soil, Track 2 soil on smallholder plots that cannot be monitored individually, and Module A2: fixed rate, cancelled at issuance. Module A3: fixed rate, deposited in the buffer. Other Module A1 under Tracks 2–3: the Annex 7 assessment is mandatory and the rate is sourced from the Annex 7 sheet.</t>
  </si>
  <si>
    <t>Part B. Feedstock</t>
  </si>
  <si>
    <t>Feedstock class (Table 20 / Table 21)</t>
  </si>
  <si>
    <t>Woody biomass</t>
  </si>
  <si>
    <t>Annex 5</t>
  </si>
  <si>
    <t>Biomass input basis</t>
  </si>
  <si>
    <t>Yield default, Eq 6 (not Module F1)</t>
  </si>
  <si>
    <t>Section 8.3; Eq 6. Module F1 field residue shall be weighed at the collection point; the yield route is not available to it.</t>
  </si>
  <si>
    <t>Yield default for the class</t>
  </si>
  <si>
    <t>Y_default</t>
  </si>
  <si>
    <t>t char / t dry feed</t>
  </si>
  <si>
    <t>Annex 5 Table 20</t>
  </si>
  <si>
    <t>Yield ceiling for the class (mass-balance flag; none for manure and biosolids, Track 3 measured yield)</t>
  </si>
  <si>
    <t>Y_max</t>
  </si>
  <si>
    <t>t / t</t>
  </si>
  <si>
    <t>Feedstock moisture class at charging (Track 1 Option A)</t>
  </si>
  <si>
    <t>Dry (≤ 15%)</t>
  </si>
  <si>
    <t>Section 9.4; Table 22</t>
  </si>
  <si>
    <t>Surplus test passed (no existing use displaced)?</t>
  </si>
  <si>
    <t>Yes</t>
  </si>
  <si>
    <t>Annex 8 A8.4</t>
  </si>
  <si>
    <t>Prior use displaced where the surplus test fails</t>
  </si>
  <si>
    <t>No prior use (surplus test passed)</t>
  </si>
  <si>
    <t>Section 10.5; Table 12</t>
  </si>
  <si>
    <t>Site-specific replacement factor (fodder, bedding, mulch — Option B)</t>
  </si>
  <si>
    <t>EF_replace</t>
  </si>
  <si>
    <t>tCO2e/t dry</t>
  </si>
  <si>
    <t>Section 10.5 Option B</t>
  </si>
  <si>
    <t>Module F1: alternative fate of the residue (Annex 8 A8.3)</t>
  </si>
  <si>
    <t>Retained or incorporated on the field</t>
  </si>
  <si>
    <t>Section 10.6. Retained or incorporated: foregone SOC and N, P, K apply. Burned on the field: P and K only. Removed from the field: no ecological-leakage deduction.</t>
  </si>
  <si>
    <t>Module F1: share of residue retained on the field</t>
  </si>
  <si>
    <t>Annex 8 A8.5. Not below 70%; higher where slope or soil require a site-specific floor.</t>
  </si>
  <si>
    <t>Retention floor check</t>
  </si>
  <si>
    <t>Annex 8 A8.5</t>
  </si>
  <si>
    <t>Module F1: residue nutrient content basis</t>
  </si>
  <si>
    <t>Table 31a default — cereal straw and stover</t>
  </si>
  <si>
    <t>Section 10.6 Eq 23a; Annex 8 Table 31a</t>
  </si>
  <si>
    <t>Module F1: measured nitrogen content (Track 3)</t>
  </si>
  <si>
    <t>N</t>
  </si>
  <si>
    <t>t N / t dry</t>
  </si>
  <si>
    <t>Section 10.6</t>
  </si>
  <si>
    <t>Module F1: measured P2O5 content (Track 3)</t>
  </si>
  <si>
    <t>P2O5</t>
  </si>
  <si>
    <t>t / t dry</t>
  </si>
  <si>
    <t>Module F1: measured K2O content (Track 3)</t>
  </si>
  <si>
    <t>K2O</t>
  </si>
  <si>
    <t>Module F1: nitrogen content applied</t>
  </si>
  <si>
    <t>Module F1: P2O5 content applied</t>
  </si>
  <si>
    <t>Module F1: K2O content applied</t>
  </si>
  <si>
    <t>Module F1: share of the biochar returned to the same field</t>
  </si>
  <si>
    <t>Section 10.6. P and K replacement is waived in proportion to the same-field return; nitrogen is charged in full.</t>
  </si>
  <si>
    <t>Feedstock-storage methane basis</t>
  </si>
  <si>
    <t>Exempt (Section 9.3 conditions)</t>
  </si>
  <si>
    <t>Section 9.3; Eq 10. Exempt where storage is one month or less, moisture 30% or less, coarse woody material above 10 cm, pellets, or storage unchanged from the counterfactual. Module F6 wet waste uses the activity-specific route with the IPCC manure-management conversion factor.</t>
  </si>
  <si>
    <t>Carbon fraction of the stored feedstock</t>
  </si>
  <si>
    <t>C_frac</t>
  </si>
  <si>
    <t>t C / t dry</t>
  </si>
  <si>
    <t>Part C. Biochar quality, permanence and placement</t>
  </si>
  <si>
    <t>Biochar moisture basis</t>
  </si>
  <si>
    <t>Default 0.15 (air- or snuff-quenched)</t>
  </si>
  <si>
    <t>Section 8.3. Water-quenched biochar shall be metered; the 0.15 default is for air- or snuff-quenched (including soil- or smother-quenched) biochar only.</t>
  </si>
  <si>
    <t>Biochar moisture, measured (annual average; period values may be entered in Part F)</t>
  </si>
  <si>
    <t>MC</t>
  </si>
  <si>
    <t>Section 8.3; PARC 17</t>
  </si>
  <si>
    <t>Biochar moisture applied</t>
  </si>
  <si>
    <t>Organic carbon basis</t>
  </si>
  <si>
    <t>Default (Table 21)</t>
  </si>
  <si>
    <t>Section 8.4</t>
  </si>
  <si>
    <t>Organic carbon, measured, lower 95% bound of the batch samples</t>
  </si>
  <si>
    <t>Corg</t>
  </si>
  <si>
    <t>Section 8.4; Annex 4</t>
  </si>
  <si>
    <t>Organic carbon default for the class</t>
  </si>
  <si>
    <t>Annex 5 Table 21</t>
  </si>
  <si>
    <t>Molar H:Corg, measured (upper bound of the batch samples)</t>
  </si>
  <si>
    <t>H:Corg</t>
  </si>
  <si>
    <t>ratio</t>
  </si>
  <si>
    <t>Section 3.2; Section 8.5. Blank on the Track 1 default route: credited at the 0.40 column. Above 0.50: not creditable under Method 1.</t>
  </si>
  <si>
    <t>H:Corg applied</t>
  </si>
  <si>
    <t>Stability eligibility</t>
  </si>
  <si>
    <t>Permanence method</t>
  </si>
  <si>
    <t>Method 1: Table 24 (soil)</t>
  </si>
  <si>
    <t>Table 24 column applied (next higher tabulated; floor 0.20)</t>
  </si>
  <si>
    <t>Annex 6</t>
  </si>
  <si>
    <t>Permanence factor from Table 24 at the soil temperature applied</t>
  </si>
  <si>
    <t>F_perm</t>
  </si>
  <si>
    <t>Annex 6 Table 24; Eq 7</t>
  </si>
  <si>
    <t>Method 2: inertinite-based factor from the Helpers sheet (Eq 8), where elected</t>
  </si>
  <si>
    <t>Section 8.5 Eq 8</t>
  </si>
  <si>
    <t>Placement</t>
  </si>
  <si>
    <t>A1: precision manual placement</t>
  </si>
  <si>
    <t>Section 8.6; Table 9</t>
  </si>
  <si>
    <t>Biochar weighed at the point of placement or at plant or vault intake under chain of custody?</t>
  </si>
  <si>
    <t>Section 8.6. Where yes, no application-loss deduction applies.</t>
  </si>
  <si>
    <t>L_app</t>
  </si>
  <si>
    <t>Application rate on the most heavily dosed field</t>
  </si>
  <si>
    <t>t dry / ha per application</t>
  </si>
  <si>
    <t>Section 3.4</t>
  </si>
  <si>
    <t>Application cap check (50 t dry per hectare per application)</t>
  </si>
  <si>
    <t>Part D. Emission factors and quantification options</t>
  </si>
  <si>
    <t>Methane quantification option</t>
  </si>
  <si>
    <t>Option A: Track 1 class default (Table 22)</t>
  </si>
  <si>
    <t>Track 1 class default for the moisture class</t>
  </si>
  <si>
    <t>EF_CH4</t>
  </si>
  <si>
    <t>tCH4 / t dry biochar</t>
  </si>
  <si>
    <t>Annex 5 Table 22</t>
  </si>
  <si>
    <t>Option B: activity-specific factor, mean + 1 SD of the measurement campaign</t>
  </si>
  <si>
    <t>Section 9.4 Option B</t>
  </si>
  <si>
    <t>Option B factor applied (not below the class default where one exists, or 0.005)</t>
  </si>
  <si>
    <t>Emission factor of the fuel used (diesel), including combustion only</t>
  </si>
  <si>
    <t>EF_fuel</t>
  </si>
  <si>
    <t>tCO2e / litre</t>
  </si>
  <si>
    <t>GS TOOL 1. Illustrative value; take the factor from GS TOOL 1 for the fuel and country.</t>
  </si>
  <si>
    <t>Grid electricity emission factor</t>
  </si>
  <si>
    <t>EF_grid</t>
  </si>
  <si>
    <t>tCO2e / MWh</t>
  </si>
  <si>
    <t>TOOL 10; A6.4-AMT-007. Illustrative value; take the published factor for the host country and year.</t>
  </si>
  <si>
    <t>Freight emission factor</t>
  </si>
  <si>
    <t>EF_trans</t>
  </si>
  <si>
    <t>tCO2e / t·km</t>
  </si>
  <si>
    <t>Methodology Tool: Emissions from Freight Transport; CDM TOOL12. Illustrative value for a medium truck; take the factor from the tool for the vehicle class.</t>
  </si>
  <si>
    <t>Pre-processing emissions basis</t>
  </si>
  <si>
    <t>Metered (fuel and electricity)</t>
  </si>
  <si>
    <t>Section 9.3; Annex 5. The small-hub default (0.082 tCO2e per dry tonne of feedstock) is available to Tracks 1 and 2 sourcing from a hub of at most 15 t/day.</t>
  </si>
  <si>
    <t>Part E. Leakage settings</t>
  </si>
  <si>
    <t>Track 3 (and Tracks 1–2 under Option B): embodied emissions of the production unit from the cradle-to-gate inventory, amortised per year of the first crediting period</t>
  </si>
  <si>
    <t>LE_embodied</t>
  </si>
  <si>
    <t>tCO2e / year</t>
  </si>
  <si>
    <t>Section 10.4 Option B; Eq 22</t>
  </si>
  <si>
    <t>Embodied-emission route</t>
  </si>
  <si>
    <t>Section 10.4</t>
  </si>
  <si>
    <t>Track, module and route rules</t>
  </si>
  <si>
    <t>Tables 3 and 19; Sections 8.3–9.4. Lists any route the selected track or module does not permit. "OK" when every selection is permitted.</t>
  </si>
  <si>
    <t>Part F. Annual monitoring-period calculation</t>
  </si>
  <si>
    <t>Item</t>
  </si>
  <si>
    <t>Period 1</t>
  </si>
  <si>
    <t>Period 2</t>
  </si>
  <si>
    <t>Period 3</t>
  </si>
  <si>
    <t>Period 4</t>
  </si>
  <si>
    <t>Period 5</t>
  </si>
  <si>
    <t>Period 6</t>
  </si>
  <si>
    <t>Period 7</t>
  </si>
  <si>
    <t>Period 8</t>
  </si>
  <si>
    <t>Period 9</t>
  </si>
  <si>
    <t>Period 10</t>
  </si>
  <si>
    <t>Total</t>
  </si>
  <si>
    <t>Reference</t>
  </si>
  <si>
    <t>Inputs by period</t>
  </si>
  <si>
    <t>Operating in the period (1 = yes, 0 = no)</t>
  </si>
  <si>
    <t>Biochar produced and placed, weighed wet</t>
  </si>
  <si>
    <t>Q_biochar</t>
  </si>
  <si>
    <t>t</t>
  </si>
  <si>
    <t>Section 8.3; PARC 13</t>
  </si>
  <si>
    <t>Dry biomass input, weighed (where weighed)</t>
  </si>
  <si>
    <t>Q_biomass</t>
  </si>
  <si>
    <t>Months of wet storage beyond the first, average for the feedstock processed</t>
  </si>
  <si>
    <t>months − 1</t>
  </si>
  <si>
    <t>months</t>
  </si>
  <si>
    <t>Section 9.3 Eq 10</t>
  </si>
  <si>
    <t>Storage methane, activity-specific route (Module F6)</t>
  </si>
  <si>
    <t>AE_storage</t>
  </si>
  <si>
    <t>Track 2: dry biochar produced while the secondary chamber was below 850 °C</t>
  </si>
  <si>
    <t>Q_non-compliant</t>
  </si>
  <si>
    <t>Section 9.4 Eq 16</t>
  </si>
  <si>
    <t>Track 3: methane measured by continuous monitoring</t>
  </si>
  <si>
    <t>CH4</t>
  </si>
  <si>
    <t>t CH4</t>
  </si>
  <si>
    <t>Section 9.4 Eq 17</t>
  </si>
  <si>
    <t>Pre-processing and drying: fuel (where metered)</t>
  </si>
  <si>
    <t>FC</t>
  </si>
  <si>
    <t>litres</t>
  </si>
  <si>
    <t>Section 9.3 Eq 12</t>
  </si>
  <si>
    <t>Pre-processing and drying: electricity (where metered)</t>
  </si>
  <si>
    <t>EC</t>
  </si>
  <si>
    <t>MWh</t>
  </si>
  <si>
    <t>Module F5: cultivation emissions (CDM TOOL16)</t>
  </si>
  <si>
    <t>AE_cultivation</t>
  </si>
  <si>
    <t>Section 9.3 Eq 11</t>
  </si>
  <si>
    <t>Production: start-up and auxiliary fuel</t>
  </si>
  <si>
    <t>FC_prod</t>
  </si>
  <si>
    <t>Section 9.4 Eq 14</t>
  </si>
  <si>
    <t>Production: metered electricity (fans, controls, monitoring)</t>
  </si>
  <si>
    <t>EC_prod</t>
  </si>
  <si>
    <t>Transport of biomass and biochar</t>
  </si>
  <si>
    <t>Dist × Mass</t>
  </si>
  <si>
    <t>t·km</t>
  </si>
  <si>
    <t>Section 9.5 Eq 18</t>
  </si>
  <si>
    <t>Application machinery fuel</t>
  </si>
  <si>
    <t>FC_app</t>
  </si>
  <si>
    <t>Section 9.6 Eq 19</t>
  </si>
  <si>
    <t>Soil disturbance: soil-organic-carbon loss on deep tillage of no-till or perennial land</t>
  </si>
  <si>
    <t>AE_SOC-loss</t>
  </si>
  <si>
    <t>Section 9.6 Eq 19; Annex 8 A8.7</t>
  </si>
  <si>
    <t>Dry biomass diverted from a prior use (where the surplus test fails)</t>
  </si>
  <si>
    <t>Q_diverted</t>
  </si>
  <si>
    <t>Section 10.5 Eq 23</t>
  </si>
  <si>
    <t>Biochar moisture for the period (blank: Part C value)</t>
  </si>
  <si>
    <t>Downward adjustment factor for the period</t>
  </si>
  <si>
    <t>Removals</t>
  </si>
  <si>
    <t>Moisture applied</t>
  </si>
  <si>
    <t>Dry biochar mass</t>
  </si>
  <si>
    <t>Q_biochar,dry</t>
  </si>
  <si>
    <t>Dry biomass input applied</t>
  </si>
  <si>
    <t>Section 8.3; Eq 6</t>
  </si>
  <si>
    <t>Mass-balance check (implied yield against the class ceiling)</t>
  </si>
  <si>
    <t>Section 8.3; Annex 5</t>
  </si>
  <si>
    <t>Carbon stored in the biochar placed (before Section 8 adjustments)</t>
  </si>
  <si>
    <t>Q_dry × Corg × 44/12</t>
  </si>
  <si>
    <t>Section 11.4 Eq 26</t>
  </si>
  <si>
    <t>AR</t>
  </si>
  <si>
    <t>Section 8.2 Eq 5</t>
  </si>
  <si>
    <t>Methane from production (Eq 15–17)</t>
  </si>
  <si>
    <t>AE_CH4</t>
  </si>
  <si>
    <t>Pre-processing and drying (Eq 12)</t>
  </si>
  <si>
    <t>AE_pre-proc</t>
  </si>
  <si>
    <t>Feedstock-storage methane (Eq 10)</t>
  </si>
  <si>
    <t>Cultivation (Module F5)</t>
  </si>
  <si>
    <t>Production energy (Eq 14)</t>
  </si>
  <si>
    <t>AE_energy</t>
  </si>
  <si>
    <t>Transport (Eq 18)</t>
  </si>
  <si>
    <t>AE_trans</t>
  </si>
  <si>
    <t>Application (Eq 19)</t>
  </si>
  <si>
    <t>AE_app</t>
  </si>
  <si>
    <t>Activity emissions before the uncertainty adjustment</t>
  </si>
  <si>
    <t>AE</t>
  </si>
  <si>
    <t>Section 9.2 Eq 9</t>
  </si>
  <si>
    <t>Embodied emissions (Eq 21–22; first crediting period only under Option A)</t>
  </si>
  <si>
    <t>Market leakage (Eq 23)</t>
  </si>
  <si>
    <t>LE_market</t>
  </si>
  <si>
    <t>Section 10.5</t>
  </si>
  <si>
    <t>Ecological leakage, foregone soil organic carbon (Module F1, retained fate)</t>
  </si>
  <si>
    <t>Section 10.6 Eq 23a; Table 31</t>
  </si>
  <si>
    <t>Ecological leakage, nutrient replacement (N only where retained; P and K net of same-field return)</t>
  </si>
  <si>
    <t>Section 10.6; Table 31</t>
  </si>
  <si>
    <t>Leakage before the uncertainty adjustment</t>
  </si>
  <si>
    <t>LE</t>
  </si>
  <si>
    <t>Section 10.3 Eq 20</t>
  </si>
  <si>
    <t>Net removals, efficiency check, risk and issuance</t>
  </si>
  <si>
    <t>Crediting baseline removals (Eq 1–4)</t>
  </si>
  <si>
    <t>BR_crediting</t>
  </si>
  <si>
    <t>Total deductions (Eq 24)</t>
  </si>
  <si>
    <t>Deductions</t>
  </si>
  <si>
    <t>Section 11.2 Eq 24</t>
  </si>
  <si>
    <t>Balance carried from the previous period (deficit, or banked balance after an efficiency failure)</t>
  </si>
  <si>
    <t>Deficit / banked</t>
  </si>
  <si>
    <t>Section 11.3; Section 11.4</t>
  </si>
  <si>
    <t>Net removals for the period (Eq 25)</t>
  </si>
  <si>
    <t>NET_CDR</t>
  </si>
  <si>
    <t>Section 11.3 Eq 25</t>
  </si>
  <si>
    <t>Net carbon efficiency ratio (Eq 26)</t>
  </si>
  <si>
    <t>NCER</t>
  </si>
  <si>
    <t>Efficiency check (NCER ≥ 5)</t>
  </si>
  <si>
    <t>Reversal-risk deduction or buffer contribution (Eq 27)</t>
  </si>
  <si>
    <t>Risk_penalty</t>
  </si>
  <si>
    <t>Section 11.5 Eq 27</t>
  </si>
  <si>
    <t>DAF_deduction</t>
  </si>
  <si>
    <t>Section 11.6 Eq 28</t>
  </si>
  <si>
    <t>Issuable removals before the Track 1 cap (Eq 29)</t>
  </si>
  <si>
    <t>ER_total</t>
  </si>
  <si>
    <t>Section 11.7 Eq 29</t>
  </si>
  <si>
    <t>Removals issued (Track 1 capped at 60,000 tCO2e per activity or VPA)</t>
  </si>
  <si>
    <t>GSVERs</t>
  </si>
  <si>
    <t>Section 3.2; Section 11.7</t>
  </si>
  <si>
    <t>Removals above the Track 1 cap (claimable only after transition to Track 2 or 3)</t>
  </si>
  <si>
    <t>Scenario 1M. As Scenario 1, with the measurements Track 1 permits: laboratory organic carbon and H:Corg on composite samples, metered moisture, an evidenced site soil temperature and an activity-specific methane factor</t>
  </si>
  <si>
    <t>The same network has its quarterly composite samples analysed (Annex 4): organic carbon lower 95% bound 0.76, H:Corg upper bound 0.28 (credited at the 0.30 column), moisture metered at 10%, and a mean annual soil temperature of 20 °C evidenced from a gridded dataset. A measurement campaign on the kilns gives a methane factor of 0.004 tCH4 per tonne, which the methodology floors at the dry-class default of 0.0055. Everything else is as in Scenario 1. The comparison with Scenario 1 shows what testing is worth on the Track 1 route.</t>
  </si>
  <si>
    <t>Measured</t>
  </si>
  <si>
    <t>Measured, lower 95% bound</t>
  </si>
  <si>
    <t>Option B: activity-specific factor (Track 1)</t>
  </si>
  <si>
    <t>Scenario 2. Track 2 — two mechanised units with secondary combustion, cashew-nut shells from a processing plant (Module F2), soil application, thermal proxy, fixed deductions</t>
  </si>
  <si>
    <t>A hypothetical cashew-processing cooperative runs two 3 t/day mechanised pyrolysis units with a secondary combustion chamber at the plant. Nut shells (Module F2, nutshell class) are surplus at the plant and are screened at a small hub whose electricity is metered (about 3 kWh per tonne). Biochar is spread mechanically on member orchards (5% loss, not weighed at placement). Track 2 quantifies methane by the thermal proxy: periods below 850 °C are logged and charged at 0.15 tCH4 per tonne of biochar produced during them. Laboratory organic carbon (lower bound 0.74) and H:Corg 0.30 are measured on batch samples; the Annex 7 tool gives the reversal-risk rate (moderate fire zone, short lease, irrigated, insured). Fixed 5% uncertainty deductions apply. The small-hub pre-processing default of 0.082 per tonne of feedstock may be selected in Part D instead of metering; on this feedstock it costs about 0.26 tCO2e per tonne of biochar.</t>
  </si>
  <si>
    <t>Track 2</t>
  </si>
  <si>
    <t>F2: Processing residues</t>
  </si>
  <si>
    <t>Irrigated orchard district, South Asia (hypothetical)</t>
  </si>
  <si>
    <t>Nutshells, stones and pits</t>
  </si>
  <si>
    <t>Weighed</t>
  </si>
  <si>
    <t>A1: mechanised surface incorporation</t>
  </si>
  <si>
    <t>Track 2: thermal proxy (Eq 16)</t>
  </si>
  <si>
    <t>Scenario 2M. As Scenario 2, with the Track 2 elections the methodology allows: platform-scale weighing at placement and the calculated uncertainty route for the measured parameters</t>
  </si>
  <si>
    <t>The cooperative installs a platform scale at the field gate and weighs every load at placement, so no application-loss deduction applies, and elects at design certification the calculated uncertainty route of Section 13.3 for biochar mass, moisture and organic carbon (instrument precision 1%, moisture 2%, sampling uncertainty of organic carbon 3% from six batch samples). The combined uncertainty of 3.7% exceeds the 1% threshold by 2.7%, which replaces the fixed 5% deduction on removals. The thermal proxy keeps its fixed 5% on activity emissions. Everything else is as in Scenario 2.</t>
  </si>
  <si>
    <t>Scenario 3. Track 3 — industrial pyrolysis plant on sawmill residues (Module F2), soil application, continuous methane monitoring, calculated uncertainty, inventory-based embodied emissions</t>
  </si>
  <si>
    <t>A hypothetical industrial plant with three pyrolysis lines processes sawmill residues (woody class) collected within 80 km and produces about 20,000 t of dry biochar a year at full output, applied by contractors to commercial farmland. Methane is measured continuously (Eq 17); electricity and start-up fuel are metered; the production unit's embodied emissions come from a cradle-to-gate inventory amortised over the first crediting period. Organic carbon lower bound 0.80 and H:Corg 0.26 on batch samples, at a soil temperature of 20 °C; the aggregate uncertainty of removals is 1.6% (0.6% above the threshold) and of activity emissions 7% (2% above). The Annex 7 tool: moderate fire zone, deep incorporation, freehold land and insurance give 7.5%.</t>
  </si>
  <si>
    <t>Track 3</t>
  </si>
  <si>
    <t>Forestry region, South America (hypothetical)</t>
  </si>
  <si>
    <t>Track 3: continuous measurement (Eq 17)</t>
  </si>
  <si>
    <t>Scenario 4. Track 1 — maize stover collected from smallholder fields (Module F1), village kilns, biochar returned mostly to the same fields; the ecological-leakage deduction by alternative fate</t>
  </si>
  <si>
    <t>A hypothetical village network pyrolyses maize stover (Module F1, herbaceous class) in flame-curtain kilns after harvest. Field residue shall be weighed at collection, so the biomass input is weighed; the surplus test is passed; 70% of the stover is left on the field (the floor); the alternative fate determined under Annex 8 is that the stover would have been burned on the field after harvest, so only the phosphorus and potassium components of ecological leakage apply, waived for the 60% of biochar returned to the same fields. Stover is sun-dried and charged dry; the aggregator has composite samples analysed (organic carbon lower bound 0.62, H:Corg 0.32). Nutrient contents are the Table 31a defaults for cereal stover (a Track 3 activity enters measured values). Change the alternative fate in Part B to "retained or incorporated": the foregone soil-organic-carbon and nitrogen components then exceed the removal and the activity is net-negative, which is the methodology's position on residue that would have stayed in the soil.</t>
  </si>
  <si>
    <t>F1: Field residues</t>
  </si>
  <si>
    <t>Rain-fed maize belt, Southern Africa (hypothetical)</t>
  </si>
  <si>
    <t>Herbaceous and crop residues, bagasse</t>
  </si>
  <si>
    <t>Burned on the field</t>
  </si>
  <si>
    <t>Scenario 5. Track 2 — woody processing residues, mechanised unit, biochar delivered to a concrete batch plant (Module A2, Method 3)</t>
  </si>
  <si>
    <t>A hypothetical joinery-waste pyrolysis unit (Module F2, woody class, surplus) delivers biochar under chain of custody to a concrete batch plant, where it is weighed at intake, so no delivery-loss deduction applies. Module A2 takes the fixed 0.95 permanence factor (Method 3; no H:Corg or soil-temperature dependence) and the fixed 5% reversal deduction, permanently cancelled. The thermal proxy applies with a small excursion mass each year. Production is steady at 1,100 t dry.</t>
  </si>
  <si>
    <t>A2: Engineered materials</t>
  </si>
  <si>
    <t>Peri-urban industrial zone (hypothetical)</t>
  </si>
  <si>
    <t>Method 3: fixed 0.95 (A2, A3)</t>
  </si>
  <si>
    <t>A2: delivery to encapsulation plant</t>
  </si>
  <si>
    <t>Scenario 6. Track 3 — dewatered sewage sludge (Module F6), industrial plant with flue-gas cleaning, biochar placed in a dedicated subterranean vault (Module A3)</t>
  </si>
  <si>
    <t>A hypothetical utility pyrolyses dewatered biosolids (Module F6, Track 3 only) at above 600 °C with continuous monitoring and flue-gas cleaning. The biochar carries no PFAS clearance for soil, so it is placed in a sealed subterranean earth vault under a legal covenant (Module A3): fixed 0.95 permanence, 2.5% buffer deposit, weighed at vault intake. Sludge is stored wet for up to six weeks before drying, so storage methane is quantified on the activity-specific route with the IPCC manure-management conversion factor (entered per period). Drying uses recovered heat; electricity for drying and monitoring is metered. Organic carbon lower bound 0.34; calculated uncertainties as entered.</t>
  </si>
  <si>
    <t>A3: Anoxic vault</t>
  </si>
  <si>
    <t>F6: Organic waste (Track 3)</t>
  </si>
  <si>
    <t>Coastal city utility (hypothetical)</t>
  </si>
  <si>
    <t>Biosolids</t>
  </si>
  <si>
    <t>Activity-specific (Module F6 wet waste; IPCC MCF route)</t>
  </si>
  <si>
    <t>A3: delivery to vault</t>
  </si>
  <si>
    <t>Annex 7 — Reversal Risk Assessment Tool (Module A1, Tracks 2 and 3)</t>
  </si>
  <si>
    <t>Mandatory for Module A1 under Track 2 and Track 3 (Section 12.2.3, Option B). Answer the nine criteria in the blue cells for each scenario; Steps 1–4 compute the rate, which the scenario sheet sources in Part A2. Where a criterion cannot be evidenced, the addition applies (Annex 7 Step 2). Track 1 Module A1, Module A2 and Module A3 take the fixed rates of Table 25 and are not assessed here.</t>
  </si>
  <si>
    <t>Site criteria and assessment</t>
  </si>
  <si>
    <t>Criterion</t>
  </si>
  <si>
    <t>Source</t>
  </si>
  <si>
    <t>Evidence required (Tables 27–28)</t>
  </si>
  <si>
    <t>Track and end-use module of the scenario (from the scenario sheet)</t>
  </si>
  <si>
    <t>Assessment applies? (Module A1 under Track 2 or Track 3)</t>
  </si>
  <si>
    <t>Section 12.2.3</t>
  </si>
  <si>
    <t>Fire exposure zone of the site (fire return interval)</t>
  </si>
  <si>
    <t>Table 27</t>
  </si>
  <si>
    <t>None</t>
  </si>
  <si>
    <t>Moderate (30–100 years)</t>
  </si>
  <si>
    <t>National fire map or NASA FIRMS</t>
  </si>
  <si>
    <t>Local charcoal price above biochar production cost?</t>
  </si>
  <si>
    <t>Local market survey</t>
  </si>
  <si>
    <t>Lease shorter than the crediting period and without a right of renewal?</t>
  </si>
  <si>
    <t>Lease agreement or title deed</t>
  </si>
  <si>
    <t>No legal covenant recording carbon storage on the deed?</t>
  </si>
  <si>
    <t>Legal opinion or registry search</t>
  </si>
  <si>
    <t>Biochar applied without incorporation (surface application)?</t>
  </si>
  <si>
    <t>Application records; field audit</t>
  </si>
  <si>
    <t>Biochar incorporated below 20 cm?</t>
  </si>
  <si>
    <t>Table 28</t>
  </si>
  <si>
    <t>Field audit, standard operating procedures</t>
  </si>
  <si>
    <t>Site permanently irrigated?</t>
  </si>
  <si>
    <t>Irrigation plan</t>
  </si>
  <si>
    <t>Biochar denatured (mixed with manure or compost)? — offsets the diversion addition only</t>
  </si>
  <si>
    <t>Product formulation log</t>
  </si>
  <si>
    <t>Land owned freehold by the activity developer?</t>
  </si>
  <si>
    <t>Title deed</t>
  </si>
  <si>
    <t>Insurance policy covering reversal events?</t>
  </si>
  <si>
    <t>Insurance certificate</t>
  </si>
  <si>
    <t>Step 1: base risk, Module A1 (Table 26)</t>
  </si>
  <si>
    <t>Table 26</t>
  </si>
  <si>
    <t>Step 2: risk additions (Table 27; denaturing offsets diversion only)</t>
  </si>
  <si>
    <t>Step 3: verified mitigation discounts (Table 28)</t>
  </si>
  <si>
    <t>Step 4: minimum floor (Table 29)</t>
  </si>
  <si>
    <t>Table 29</t>
  </si>
  <si>
    <t>Reversal-risk rate, Module A1 = max(floor, base + additions − mitigations)</t>
  </si>
  <si>
    <t>Annex 7 Eq.</t>
  </si>
  <si>
    <t>Reference values of Annex 7 (linked from the Defaults sheet; the methodology governs)</t>
  </si>
  <si>
    <t>Table 25 — fixed rates (modules not assessed by this tool)</t>
  </si>
  <si>
    <t>Rate</t>
  </si>
  <si>
    <t>Settlement</t>
  </si>
  <si>
    <t>Track 1 (Distributed) — Module A1</t>
  </si>
  <si>
    <t>Cancelled at issuance</t>
  </si>
  <si>
    <t>Module A2 (Engineered Materials) — Tracks 2 and 3</t>
  </si>
  <si>
    <t>Module A3 (Earth Vault, subterranean or above-ground) — Tracks 2 and 3</t>
  </si>
  <si>
    <t>Buffer deposit</t>
  </si>
  <si>
    <t>Table 26 — base risk, Module A1</t>
  </si>
  <si>
    <t>A1: Soil — open system; surface erosion, fire, biotic disturbance</t>
  </si>
  <si>
    <t>Table 27 — risk additions</t>
  </si>
  <si>
    <t>Add</t>
  </si>
  <si>
    <t>Fire exposure, high (fire return interval &lt; 30 years)</t>
  </si>
  <si>
    <t>Fire exposure, moderate (30–100 years)</t>
  </si>
  <si>
    <t>Diversion: local charcoal price above biochar production cost</t>
  </si>
  <si>
    <t>Land tenure: lease shorter than the crediting period, no right of renewal</t>
  </si>
  <si>
    <t>Enforcement: no legal covenant on the deed</t>
  </si>
  <si>
    <t>Surface application without incorporation</t>
  </si>
  <si>
    <t>Table 28 — verified mitigation discounts</t>
  </si>
  <si>
    <t>Deduct</t>
  </si>
  <si>
    <t>Deep incorporation below 20 cm</t>
  </si>
  <si>
    <t>Permanently irrigated site</t>
  </si>
  <si>
    <t>Denaturing (mixed with manure or compost) — against the diversion addition only</t>
  </si>
  <si>
    <t>Land owned freehold by the activity developer</t>
  </si>
  <si>
    <t>Insurance policy covering reversal events</t>
  </si>
  <si>
    <t>Table 29 — minimum floor, Module A1, Tracks 2 and 3</t>
  </si>
  <si>
    <t>Floor</t>
  </si>
  <si>
    <t>Track 2 (Mechanised) and Track 3 (Industrial)</t>
  </si>
  <si>
    <t>Helpers — worked calculations the scenario sheets draw on</t>
  </si>
  <si>
    <t>H1. Sampling uncertainty of a laboratory parameter (Eq 31) and the product rule (Eq 32)</t>
  </si>
  <si>
    <t>Number of batch samples in the period, n</t>
  </si>
  <si>
    <t>Eq 31</t>
  </si>
  <si>
    <t>Mean of the samples (organic carbon)</t>
  </si>
  <si>
    <t>t C/t</t>
  </si>
  <si>
    <t>Annex 4</t>
  </si>
  <si>
    <t>Standard deviation of the samples</t>
  </si>
  <si>
    <t>t-value at 95% confidence (n − 1 degrees of freedom)</t>
  </si>
  <si>
    <t>Defaults D8</t>
  </si>
  <si>
    <t>Sampling uncertainty of the mean, U_samp = t × (SD / √n) / mean</t>
  </si>
  <si>
    <t>Lower 95% bound of organic carbon to apply in Eq 5</t>
  </si>
  <si>
    <t>Instrument precision, biochar mass (platform scale)</t>
  </si>
  <si>
    <t>Section 13.4</t>
  </si>
  <si>
    <t>Instrument precision, moisture</t>
  </si>
  <si>
    <t>Combined uncertainty of removals, product rule √(ΣU²)</t>
  </si>
  <si>
    <t>Deduction factor, max(0, U_calc − 1%)</t>
  </si>
  <si>
    <t>Eq 34</t>
  </si>
  <si>
    <t>H2. Addition rule for activity emissions (Eq 33): enter up to four components with their uncertainties</t>
  </si>
  <si>
    <t>Value (tCO2e)</t>
  </si>
  <si>
    <t>Uncertainty</t>
  </si>
  <si>
    <t>Methane (continuous monitoring)</t>
  </si>
  <si>
    <t>Production energy (metered, invoiced)</t>
  </si>
  <si>
    <t>Transport</t>
  </si>
  <si>
    <t>Application</t>
  </si>
  <si>
    <t>Combined uncertainty √(Σ(U×V)²) / |ΣV|</t>
  </si>
  <si>
    <t>Eq 33</t>
  </si>
  <si>
    <t>Deduction factor, max(0, U_calc − 5%)</t>
  </si>
  <si>
    <t>Eq 34; enter the result in Part A of the Track 3 scenario</t>
  </si>
  <si>
    <t>H3. Method 2 — inertinite-based permanence factor (Eq 8), where elected</t>
  </si>
  <si>
    <t>Mean recalcitrant inertinite fraction (R₀ ≥ 2%) across replicates</t>
  </si>
  <si>
    <t>Annex 4; Sanei et al. 2024</t>
  </si>
  <si>
    <t>Sample standard deviation of the inertinite fraction</t>
  </si>
  <si>
    <t>Mean non-reactive carbon fraction</t>
  </si>
  <si>
    <t>Sample standard deviation of the non-reactive fraction</t>
  </si>
  <si>
    <t>F_perm = max(0, min(0.95, (R̄₀ − s) × (C̄ − s)))</t>
  </si>
  <si>
    <t>H4. Module F1 ecological leakage per tonne of residue removed, by alternative fate (Section 10.6; Table 31)</t>
  </si>
  <si>
    <t>Nitrogen content of the residue (t N / t dry)</t>
  </si>
  <si>
    <t>P2O5 content (t / t dry)</t>
  </si>
  <si>
    <t>K2O content (t / t dry)</t>
  </si>
  <si>
    <t>Share of biochar returned to the same field</t>
  </si>
  <si>
    <t>Fate</t>
  </si>
  <si>
    <t>tCO2e / t residue</t>
  </si>
  <si>
    <t>Components</t>
  </si>
  <si>
    <t>Foregone SOC + N + (1 − same-field share) × (P + K)</t>
  </si>
  <si>
    <t>(1 − same-field share) × (P + K)</t>
  </si>
  <si>
    <t>Removed from the field</t>
  </si>
  <si>
    <t>H5. Feedstock-storage methane per tonne of dry feedstock per month beyond the first (Eq 10)</t>
  </si>
  <si>
    <t>Carbon fraction of the feedstock</t>
  </si>
  <si>
    <t>tCO2e per dry tonne per month = C_frac × 0.0013 × (16.04/12.01) × GWP</t>
  </si>
  <si>
    <t>H6. Reversal quantification on an event (Eq 30) — Module A1 wildfire example</t>
  </si>
  <si>
    <t>Area affected (ha)</t>
  </si>
  <si>
    <t>ha</t>
  </si>
  <si>
    <t>Biochar density on the area (t dry / ha)</t>
  </si>
  <si>
    <t>t/ha</t>
  </si>
  <si>
    <t>Damage factor (Table 15)</t>
  </si>
  <si>
    <t>Reversal to be compensated (tCO2e) = area × density × Corg × F_perm × DF × 44/12</t>
  </si>
  <si>
    <t>Eq 30; one buffer credit cancelled per tonne for buffer-deposit sinks (Section 12.5; Annex 7)</t>
  </si>
  <si>
    <t>Checks — re-derivation of defaults and internal consistency</t>
  </si>
  <si>
    <t>Check</t>
  </si>
  <si>
    <t>Tool</t>
  </si>
  <si>
    <t>Expected</t>
  </si>
  <si>
    <t>Basis</t>
  </si>
  <si>
    <t>Table 24 at 25 °C and the 0.40 column (Track 1 default route)</t>
  </si>
  <si>
    <t>Section 8.5: F_perm = 0.754 on the Track 1 default route</t>
  </si>
  <si>
    <t>Pre-processing default: 0.050 MWh/t × 1.3 tCO2/MWh × 1.25, rounded up</t>
  </si>
  <si>
    <t>Annex 5 derivation</t>
  </si>
  <si>
    <t>Embodied default, Track 1 bounding case: 0.15 tCO2e over 14.5 t of biochar, below the 0.02 default</t>
  </si>
  <si>
    <t>Annex 5, basis of the embodied-emission defaults; the default 0.02 bounds it</t>
  </si>
  <si>
    <t>Embodied default, Track 2 bounding case: 11 tCO2e over 250 t, below the 0.05 default</t>
  </si>
  <si>
    <t>Annex 5, basis of the embodied-emission defaults</t>
  </si>
  <si>
    <t>Storage methane per dry tonne per month at C_frac 0.45</t>
  </si>
  <si>
    <t>Scenario 1: Eq 5 recomputed from its factors in period 10</t>
  </si>
  <si>
    <t>Scenario 1: issued = NET × (1 − Rate_risk − DAF) in period 10 (gate passed)</t>
  </si>
  <si>
    <t>Scenario 3: NCER = stored carbon ÷ emissions before uncertainty in period 10</t>
  </si>
  <si>
    <t>Scenario 3: AE = components × (1 + UNC_AE) in period 10</t>
  </si>
  <si>
    <t>Annex 7 floor: a fully mitigated site cannot fall below 2.5%</t>
  </si>
  <si>
    <t>Table 29; Section 11.5</t>
  </si>
  <si>
    <t>Option B methane floor: 0.004 measured is raised to the dry-class default</t>
  </si>
  <si>
    <t>Defaults — fixed values of the methodology (locked; the methodology governs)</t>
  </si>
  <si>
    <t>D1. Constants and single-value defaults</t>
  </si>
  <si>
    <t>GWP100 of methane (AR5)</t>
  </si>
  <si>
    <t>PARC 1; Section 9.4</t>
  </si>
  <si>
    <t>Carbon to carbon dioxide</t>
  </si>
  <si>
    <t>tCO2/tC</t>
  </si>
  <si>
    <t>Net carbon efficiency ratio, minimum</t>
  </si>
  <si>
    <t>Section 3.2; Section 11.4; Eq 26</t>
  </si>
  <si>
    <t>Uncertainty deduction, Track 1 (removals and activity emissions)</t>
  </si>
  <si>
    <t>Table 10; Table 16; Section 13.1</t>
  </si>
  <si>
    <t>Uncertainty deduction, Track 2 fixed (removals and activity emissions)</t>
  </si>
  <si>
    <t>Precision threshold, removals (calculated route)</t>
  </si>
  <si>
    <t>Precision threshold, activity emissions (calculated route)</t>
  </si>
  <si>
    <t>Leakage uncertainty, site-specific factors (Option B), Tracks 2–3</t>
  </si>
  <si>
    <t>Table 16 note; Section 10.8</t>
  </si>
  <si>
    <t>Permanence factor, Method 3 (Modules A2 and A3)</t>
  </si>
  <si>
    <t>Permanence factor, cap</t>
  </si>
  <si>
    <t>Section 8.5; Eq 8</t>
  </si>
  <si>
    <t>Track 1 default mean annual soil temperature</t>
  </si>
  <si>
    <t>Section 8.5; Annex 5</t>
  </si>
  <si>
    <t>Lowest tabulated soil temperature</t>
  </si>
  <si>
    <t>Highest tabulated soil temperature</t>
  </si>
  <si>
    <t>Track 1 H:Corg credited on the default route</t>
  </si>
  <si>
    <t>molar ratio</t>
  </si>
  <si>
    <t>H:Corg eligibility limit, Method 1</t>
  </si>
  <si>
    <t>Section 3.2; Section 8.5</t>
  </si>
  <si>
    <t>Pre-processing default, small hub</t>
  </si>
  <si>
    <t>tCO2e/t dry feedstock</t>
  </si>
  <si>
    <t>Annex 5; Eq 12</t>
  </si>
  <si>
    <t>Embodied emissions default, Track 1</t>
  </si>
  <si>
    <t>tCO2e/t dry biochar</t>
  </si>
  <si>
    <t>Section 10.4; Annex 5 Table 23</t>
  </si>
  <si>
    <t>Embodied emissions default, Track 2</t>
  </si>
  <si>
    <t>Thermal-excursion penalty factor, Track 2</t>
  </si>
  <si>
    <t>tCH4/t dry biochar</t>
  </si>
  <si>
    <t>Section 9.4 Eq 16; Annex 5 Table 22</t>
  </si>
  <si>
    <t>Biochar moisture default, air- or snuff-quenched</t>
  </si>
  <si>
    <t>Section 8.3; Annex 5 Table 23</t>
  </si>
  <si>
    <t>Feedstock-storage methane rate</t>
  </si>
  <si>
    <t>fraction of stored C per month</t>
  </si>
  <si>
    <t>Methane mass per carbon mass</t>
  </si>
  <si>
    <t>tCH4/tC</t>
  </si>
  <si>
    <t>Activity-specific methane factor, floor where no class default</t>
  </si>
  <si>
    <t>Reversal-risk rate, Track 1 Module A1 (cancelled at issuance)</t>
  </si>
  <si>
    <t>Table 14</t>
  </si>
  <si>
    <t>Reversal-risk rate, Module A2 (cancelled at issuance)</t>
  </si>
  <si>
    <t>Reversal-risk rate, Module A3 (buffer deposit, default)</t>
  </si>
  <si>
    <t>Table 13</t>
  </si>
  <si>
    <t>Base risk, Module A1, Tracks 2–3 (Annex 7 Step 1; rate determined under Annex 7)</t>
  </si>
  <si>
    <t>Table 13; Table 26</t>
  </si>
  <si>
    <t>Minimum reversal-risk rate, all sinks</t>
  </si>
  <si>
    <t>Section 11.5; Table 29</t>
  </si>
  <si>
    <t>Foregone soil organic carbon, Module F1</t>
  </si>
  <si>
    <t>tCO2e/t dry residue</t>
  </si>
  <si>
    <t>Annex 8 Table 31</t>
  </si>
  <si>
    <t>Nitrogen replacement factor</t>
  </si>
  <si>
    <t>tCO2e/t N</t>
  </si>
  <si>
    <t>Table 31a: cereal straw and stover — N content</t>
  </si>
  <si>
    <t>t/t dry</t>
  </si>
  <si>
    <t>Annex 8 Table 31a</t>
  </si>
  <si>
    <t>Table 31a: cereal straw and stover — P2O5 content</t>
  </si>
  <si>
    <t>Table 31a: cereal straw and stover — K2O content</t>
  </si>
  <si>
    <t>Table 31a: other herbaceous residues — N content</t>
  </si>
  <si>
    <t>Table 31a: other herbaceous residues — P2O5 content</t>
  </si>
  <si>
    <t>Table 31a: other herbaceous residues — K2O content</t>
  </si>
  <si>
    <t>Table 31a: woody prunings — N content</t>
  </si>
  <si>
    <t>Table 31a: woody prunings — P2O5 content</t>
  </si>
  <si>
    <t>Table 31a: woody prunings — K2O content</t>
  </si>
  <si>
    <t>Phosphorus replacement factor</t>
  </si>
  <si>
    <t>tCO2e/t P2O5</t>
  </si>
  <si>
    <t>Potassium replacement factor</t>
  </si>
  <si>
    <t>tCO2e/t K2O</t>
  </si>
  <si>
    <t>Residue retention floor, Module F1</t>
  </si>
  <si>
    <t>Track 1 issuance cap per activity or VPA</t>
  </si>
  <si>
    <t>tCO2e per year</t>
  </si>
  <si>
    <t>Downward adjustment factor, illustrative (2026–2030)</t>
  </si>
  <si>
    <t>Section 11.6; MT400-05</t>
  </si>
  <si>
    <t>Biochar application cap</t>
  </si>
  <si>
    <t>t dry per hectare per application</t>
  </si>
  <si>
    <t>D2. Table 20 and Table 21 — yield and organic-carbon defaults by feedstock class</t>
  </si>
  <si>
    <t>Feedstock class</t>
  </si>
  <si>
    <t>Corg default</t>
  </si>
  <si>
    <t>Y_max ceiling</t>
  </si>
  <si>
    <t>Track admission</t>
  </si>
  <si>
    <t>All tracks</t>
  </si>
  <si>
    <t>Rice husk and high-silica husks</t>
  </si>
  <si>
    <t>Animal manure</t>
  </si>
  <si>
    <t>Track 3 only</t>
  </si>
  <si>
    <t>D3. Table 22 — Track 1 methane factors by feedstock moisture class (flame-curtain kiln)</t>
  </si>
  <si>
    <t>Moisture class at charging (wet basis)</t>
  </si>
  <si>
    <t>Semi-moist (&gt; 15% to 24%)</t>
  </si>
  <si>
    <t>Moist (&gt; 24%) — not creditable</t>
  </si>
  <si>
    <t>D4. Table 9 — application loss factors</t>
  </si>
  <si>
    <t>D5. Table 12 — market-leakage replacement factors</t>
  </si>
  <si>
    <t>Prior use displaced</t>
  </si>
  <si>
    <t>tCO2e / t dry biomass</t>
  </si>
  <si>
    <t>Boiler or kiln fuel — woody biomass (coal or non-renewable wood replaced)</t>
  </si>
  <si>
    <t>Boiler or kiln fuel — herbaceous residue (coal or non-renewable wood replaced)</t>
  </si>
  <si>
    <t>Household cooking fuel — woody biomass (LPG replaced)</t>
  </si>
  <si>
    <t>Household cooking fuel — herbaceous residue (LPG replaced)</t>
  </si>
  <si>
    <t>Fodder, bedding or mulch — site-specific factor (Option B)</t>
  </si>
  <si>
    <t>D6. Table 27 and Table 28 — Annex 7 reversal-risk additions and mitigation discounts (Module A1, Tracks 2–3)</t>
  </si>
  <si>
    <t>Condition</t>
  </si>
  <si>
    <t>Denaturing (mixed with manure or compost) — offsets the diversion addition only</t>
  </si>
  <si>
    <t>D7. Table 15 — default damage factors for reversal quantification (Eq 30)</t>
  </si>
  <si>
    <t>Event and context</t>
  </si>
  <si>
    <t>DF</t>
  </si>
  <si>
    <t>Wildfire, surface-applied (&lt; 10 cm)</t>
  </si>
  <si>
    <t>Wildfire, incorporated (&gt; 10 cm)</t>
  </si>
  <si>
    <t>Fuel diversion, unauthorised combustion</t>
  </si>
  <si>
    <t>Excavation, Module A3</t>
  </si>
  <si>
    <t>D8. Two-sided t-values at 95% confidence (Eq 31)</t>
  </si>
  <si>
    <t>Samples n</t>
  </si>
  <si>
    <t>t (n − 1 degrees of freedom)</t>
  </si>
  <si>
    <t>D9. Table 24 — permanence factors (Annex 6), 200-year, one-sided 95% lower bound, by soil temperature and H:Corg column</t>
  </si>
  <si>
    <t>Mean annual soil temperature (°C)</t>
  </si>
  <si>
    <t>Module</t>
  </si>
  <si>
    <t>Corg basis</t>
  </si>
  <si>
    <t>Moisture class</t>
  </si>
  <si>
    <t>Methane option</t>
  </si>
  <si>
    <t>Yes/No</t>
  </si>
  <si>
    <t>F1 fate</t>
  </si>
  <si>
    <t>Fire zone</t>
  </si>
  <si>
    <t>Pre-processing basis</t>
  </si>
  <si>
    <t>Residue nutrient basis</t>
  </si>
  <si>
    <t>Track 2 A1 settlement</t>
  </si>
  <si>
    <t>Storage basis</t>
  </si>
  <si>
    <t>Default rate, Eq 10</t>
  </si>
  <si>
    <t>Method 2: inertinite (Eq 8)</t>
  </si>
  <si>
    <t>Small-hub default, 0.082 per t feedstock</t>
  </si>
  <si>
    <t>Table 31a default — other herbaceous residues</t>
  </si>
  <si>
    <t>Cancellation — smallholder plots not individually monitorable (Track 1 rate)</t>
  </si>
  <si>
    <t>Removed from the field (dumped, piled or burned elsewhere)</t>
  </si>
  <si>
    <t>High (&lt; 30 years)</t>
  </si>
  <si>
    <t>Table 31a default — woody prunings</t>
  </si>
  <si>
    <t>F4: Disaster or sanitary</t>
  </si>
  <si>
    <t>Measured (Track 3)</t>
  </si>
  <si>
    <t>F5: Purpose-grown (Track 3)</t>
  </si>
  <si>
    <t>GS4GG PAA M400-16</t>
  </si>
  <si>
    <t>Supporting file to the Gold Standard for the Global Goals methodology "Production and Application for the Removal of Carbon via Biochar (PARC)", GS4GG PAA M400-16, Version 1.0.</t>
  </si>
  <si>
    <t>Tool version 1, prepared for PARC Version 1.0 ( 28 October 2026). The workbook is protected: blue cells are open for input; all other cells, the sheet structure and the Defaults sheet are locked. Enquiries: help@goldstandard.org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</si>
</sst>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0.0%"/>
    <numFmt numFmtId="166" formatCode="0.0000"/>
    <numFmt numFmtId="167" formatCode="0.0"/>
    <numFmt numFmtId="168" formatCode="0.00000"/>
    <numFmt numFmtId="169" formatCode="#,##0.0"/>
  </numFmts>
  <fonts count="11" x14ac:knownFonts="1">
    <font>
      <sz val="11"/>
      <color theme="1"/>
      <name val="Calibri"/>
      <family val="2"/>
      <charset val="1"/>
    </font>
    <font>
      <b/>
      <sz val="24"/>
      <color rgb="FF00B9BD"/>
      <name val="Verdana"/>
      <family val="2"/>
    </font>
    <font>
      <sz val="12"/>
      <color rgb="FF000000"/>
      <name val="Verdana"/>
      <family val="2"/>
    </font>
    <font>
      <b/>
      <sz val="12"/>
      <color rgb="FF000000"/>
      <name val="Verdana"/>
      <family val="2"/>
    </font>
    <font>
      <b/>
      <sz val="12"/>
      <color rgb="FFFFFFFF"/>
      <name val="Verdana"/>
      <family val="2"/>
    </font>
    <font>
      <sz val="12"/>
      <color rgb="FF595959"/>
      <name val="Verdana"/>
      <family val="2"/>
    </font>
    <font>
      <sz val="12"/>
      <color rgb="FF0000FF"/>
      <name val="Verdana"/>
      <family val="2"/>
    </font>
    <font>
      <sz val="12"/>
      <color rgb="FF008000"/>
      <name val="Verdana"/>
      <family val="2"/>
    </font>
    <font>
      <b/>
      <sz val="20"/>
      <color rgb="FF00B9BD"/>
      <name val="Verdana"/>
      <family val="2"/>
    </font>
    <font>
      <b/>
      <i/>
      <sz val="12"/>
      <color rgb="FF000000"/>
      <name val="Verdana"/>
      <family val="2"/>
    </font>
    <font>
      <b/>
      <sz val="12"/>
      <color rgb="FF00B9BD"/>
      <name val="Verdana"/>
      <family val="2"/>
    </font>
  </fonts>
  <fills count="6">
    <fill>
      <patternFill patternType="none"/>
    </fill>
    <fill>
      <patternFill patternType="gray125"/>
    </fill>
    <fill>
      <patternFill patternType="solid">
        <fgColor rgb="FF00B9BD"/>
        <bgColor rgb="FF33CCCC"/>
      </patternFill>
    </fill>
    <fill>
      <patternFill patternType="solid">
        <fgColor rgb="FFDCEEF1"/>
        <bgColor rgb="FFF2F2F2"/>
      </patternFill>
    </fill>
    <fill>
      <patternFill patternType="solid">
        <fgColor rgb="FFFFF2CC"/>
        <bgColor rgb="FFF2F2F2"/>
      </patternFill>
    </fill>
    <fill>
      <patternFill patternType="solid">
        <fgColor rgb="FFF2F2F2"/>
        <bgColor rgb="FFDCEEF1"/>
      </patternFill>
    </fill>
  </fills>
  <borders count="1">
    <border>
      <left/>
      <right/>
      <top/>
      <bottom/>
      <diagonal/>
    </border>
  </borders>
  <cellStyleXfs count="1">
    <xf numFmtId="0" fontId="0" fillId="0" borderId="0"/>
  </cellStyleXfs>
  <cellXfs count="86">
    <xf numFmtId="0" fontId="0" fillId="0" borderId="0" xfId="0"/>
    <xf numFmtId="0" fontId="5" fillId="0" borderId="0" xfId="0" applyFont="1" applyAlignment="1">
      <alignment vertical="top" wrapText="1"/>
    </xf>
    <xf numFmtId="0" fontId="2" fillId="4" borderId="0" xfId="0" applyFont="1" applyFill="1"/>
    <xf numFmtId="0" fontId="7" fillId="0" borderId="0" xfId="0" applyFont="1"/>
    <xf numFmtId="0" fontId="2" fillId="0" borderId="0" xfId="0" applyFont="1"/>
    <xf numFmtId="0" fontId="6" fillId="0" borderId="0" xfId="0" applyFont="1"/>
    <xf numFmtId="0" fontId="2" fillId="0" borderId="0" xfId="0" applyFont="1" applyAlignment="1">
      <alignment vertical="top" wrapText="1"/>
    </xf>
    <xf numFmtId="0" fontId="3" fillId="0" borderId="0" xfId="0" applyFont="1"/>
    <xf numFmtId="0" fontId="1" fillId="0" borderId="0" xfId="0" applyFont="1"/>
    <xf numFmtId="0" fontId="5" fillId="0" borderId="0" xfId="0" applyFont="1"/>
    <xf numFmtId="0" fontId="4" fillId="2" borderId="0" xfId="0" applyFont="1" applyFill="1"/>
    <xf numFmtId="0" fontId="0" fillId="2" borderId="0" xfId="0" applyFill="1"/>
    <xf numFmtId="0" fontId="3" fillId="3" borderId="0" xfId="0" applyFont="1" applyFill="1"/>
    <xf numFmtId="0" fontId="0" fillId="3" borderId="0" xfId="0" applyFill="1"/>
    <xf numFmtId="0" fontId="8" fillId="0" borderId="0" xfId="0" applyFont="1"/>
    <xf numFmtId="0" fontId="3" fillId="3" borderId="0" xfId="0" applyFont="1" applyFill="1" applyAlignment="1">
      <alignment vertical="top" wrapText="1"/>
    </xf>
    <xf numFmtId="164" fontId="2" fillId="0" borderId="0" xfId="0" applyNumberFormat="1" applyFont="1"/>
    <xf numFmtId="2" fontId="2" fillId="0" borderId="0" xfId="0" applyNumberFormat="1" applyFont="1"/>
    <xf numFmtId="1" fontId="2" fillId="0" borderId="0" xfId="0" applyNumberFormat="1" applyFont="1"/>
    <xf numFmtId="9" fontId="2" fillId="0" borderId="0" xfId="0" applyNumberFormat="1" applyFont="1"/>
    <xf numFmtId="165" fontId="2" fillId="0" borderId="0" xfId="0" applyNumberFormat="1" applyFont="1"/>
    <xf numFmtId="3" fontId="2" fillId="0" borderId="0" xfId="0" applyNumberFormat="1" applyFont="1"/>
    <xf numFmtId="2" fontId="3" fillId="4" borderId="0" xfId="0" applyNumberFormat="1" applyFont="1" applyFill="1"/>
    <xf numFmtId="9" fontId="3" fillId="4" borderId="0" xfId="0" applyNumberFormat="1" applyFont="1" applyFill="1"/>
    <xf numFmtId="165" fontId="3" fillId="4" borderId="0" xfId="0" applyNumberFormat="1" applyFont="1" applyFill="1"/>
    <xf numFmtId="0" fontId="0" fillId="4" borderId="0" xfId="0" applyFill="1"/>
    <xf numFmtId="3" fontId="3" fillId="4" borderId="0" xfId="0" applyNumberFormat="1" applyFont="1" applyFill="1"/>
    <xf numFmtId="0" fontId="5" fillId="4" borderId="0" xfId="0" applyFont="1" applyFill="1"/>
    <xf numFmtId="1" fontId="3" fillId="4" borderId="0" xfId="0" applyNumberFormat="1" applyFont="1" applyFill="1"/>
    <xf numFmtId="0" fontId="3" fillId="4" borderId="0" xfId="0" applyFont="1" applyFill="1"/>
    <xf numFmtId="0" fontId="6" fillId="0" borderId="0" xfId="0" applyFont="1" applyProtection="1">
      <protection locked="0"/>
    </xf>
    <xf numFmtId="10" fontId="7" fillId="0" borderId="0" xfId="0" applyNumberFormat="1" applyFont="1"/>
    <xf numFmtId="165" fontId="6" fillId="0" borderId="0" xfId="0" applyNumberFormat="1" applyFont="1" applyProtection="1">
      <protection locked="0"/>
    </xf>
    <xf numFmtId="9" fontId="6" fillId="0" borderId="0" xfId="0" applyNumberFormat="1" applyFont="1" applyProtection="1">
      <protection locked="0"/>
    </xf>
    <xf numFmtId="165" fontId="7" fillId="0" borderId="0" xfId="0" applyNumberFormat="1" applyFont="1"/>
    <xf numFmtId="0" fontId="2" fillId="4" borderId="0" xfId="0" applyFont="1" applyFill="1" applyAlignment="1">
      <alignment vertical="top" wrapText="1"/>
    </xf>
    <xf numFmtId="0" fontId="5" fillId="4" borderId="0" xfId="0" applyFont="1" applyFill="1" applyAlignment="1">
      <alignment vertical="top" wrapText="1"/>
    </xf>
    <xf numFmtId="2" fontId="7" fillId="0" borderId="0" xfId="0" applyNumberFormat="1" applyFont="1"/>
    <xf numFmtId="2" fontId="6" fillId="0" borderId="0" xfId="0" applyNumberFormat="1" applyFont="1" applyProtection="1">
      <protection locked="0"/>
    </xf>
    <xf numFmtId="164" fontId="6" fillId="0" borderId="0" xfId="0" applyNumberFormat="1" applyFont="1" applyProtection="1">
      <protection locked="0"/>
    </xf>
    <xf numFmtId="166" fontId="6" fillId="0" borderId="0" xfId="0" applyNumberFormat="1" applyFont="1" applyProtection="1">
      <protection locked="0"/>
    </xf>
    <xf numFmtId="164" fontId="7" fillId="0" borderId="0" xfId="0" applyNumberFormat="1" applyFont="1"/>
    <xf numFmtId="166" fontId="7" fillId="0" borderId="0" xfId="0" applyNumberFormat="1" applyFont="1"/>
    <xf numFmtId="164" fontId="3" fillId="4" borderId="0" xfId="0" applyNumberFormat="1" applyFont="1" applyFill="1"/>
    <xf numFmtId="167" fontId="6" fillId="0" borderId="0" xfId="0" applyNumberFormat="1" applyFont="1" applyProtection="1">
      <protection locked="0"/>
    </xf>
    <xf numFmtId="166" fontId="2" fillId="0" borderId="0" xfId="0" applyNumberFormat="1" applyFont="1"/>
    <xf numFmtId="168" fontId="6" fillId="0" borderId="0" xfId="0" applyNumberFormat="1" applyFont="1" applyProtection="1">
      <protection locked="0"/>
    </xf>
    <xf numFmtId="3" fontId="6" fillId="0" borderId="0" xfId="0" applyNumberFormat="1" applyFont="1" applyProtection="1">
      <protection locked="0"/>
    </xf>
    <xf numFmtId="0" fontId="3" fillId="3" borderId="0" xfId="0" applyFont="1" applyFill="1" applyAlignment="1">
      <alignment horizontal="center" vertical="top"/>
    </xf>
    <xf numFmtId="0" fontId="9" fillId="0" borderId="0" xfId="0" applyFont="1"/>
    <xf numFmtId="1" fontId="6" fillId="0" borderId="0" xfId="0" applyNumberFormat="1" applyFont="1" applyProtection="1">
      <protection locked="0"/>
    </xf>
    <xf numFmtId="1" fontId="3" fillId="5" borderId="0" xfId="0" applyNumberFormat="1" applyFont="1" applyFill="1"/>
    <xf numFmtId="3" fontId="3" fillId="5" borderId="0" xfId="0" applyNumberFormat="1" applyFont="1" applyFill="1"/>
    <xf numFmtId="169" fontId="6" fillId="0" borderId="0" xfId="0" applyNumberFormat="1" applyFont="1" applyProtection="1">
      <protection locked="0"/>
    </xf>
    <xf numFmtId="169" fontId="3" fillId="5" borderId="0" xfId="0" applyNumberFormat="1" applyFont="1" applyFill="1"/>
    <xf numFmtId="2" fontId="3" fillId="5" borderId="0" xfId="0" applyNumberFormat="1" applyFont="1" applyFill="1"/>
    <xf numFmtId="10" fontId="2" fillId="0" borderId="0" xfId="0" applyNumberFormat="1" applyFont="1"/>
    <xf numFmtId="169" fontId="2" fillId="0" borderId="0" xfId="0" applyNumberFormat="1" applyFont="1"/>
    <xf numFmtId="38" fontId="2" fillId="0" borderId="0" xfId="0" applyNumberFormat="1" applyFont="1"/>
    <xf numFmtId="38" fontId="3" fillId="4" borderId="0" xfId="0" applyNumberFormat="1" applyFont="1" applyFill="1"/>
    <xf numFmtId="167" fontId="2" fillId="0" borderId="0" xfId="0" applyNumberFormat="1" applyFont="1"/>
    <xf numFmtId="0" fontId="3" fillId="5" borderId="0" xfId="0" applyFont="1" applyFill="1"/>
    <xf numFmtId="0" fontId="3" fillId="3" borderId="0" xfId="0" applyFont="1" applyFill="1" applyAlignment="1">
      <alignment horizontal="center" vertical="top" wrapText="1"/>
    </xf>
    <xf numFmtId="0" fontId="7" fillId="0" borderId="0" xfId="0" applyFont="1" applyAlignment="1">
      <alignment vertical="top" wrapText="1"/>
    </xf>
    <xf numFmtId="1" fontId="6" fillId="0" borderId="0" xfId="0" applyNumberFormat="1" applyFont="1"/>
    <xf numFmtId="164" fontId="6" fillId="0" borderId="0" xfId="0" applyNumberFormat="1" applyFont="1"/>
    <xf numFmtId="166" fontId="6" fillId="0" borderId="0" xfId="0" applyNumberFormat="1" applyFont="1"/>
    <xf numFmtId="165" fontId="6" fillId="0" borderId="0" xfId="0" applyNumberFormat="1" applyFont="1"/>
    <xf numFmtId="9" fontId="6" fillId="0" borderId="0" xfId="0" applyNumberFormat="1" applyFont="1"/>
    <xf numFmtId="2" fontId="6" fillId="0" borderId="0" xfId="0" applyNumberFormat="1" applyFont="1"/>
    <xf numFmtId="167" fontId="6" fillId="0" borderId="0" xfId="0" applyNumberFormat="1" applyFont="1"/>
    <xf numFmtId="0" fontId="10" fillId="0" borderId="0" xfId="0" applyFont="1"/>
    <xf numFmtId="3" fontId="6" fillId="0" borderId="0" xfId="0" applyNumberFormat="1" applyFont="1"/>
    <xf numFmtId="10" fontId="6" fillId="0" borderId="0" xfId="0" applyNumberFormat="1" applyFont="1"/>
    <xf numFmtId="2" fontId="3" fillId="3" borderId="0" xfId="0" applyNumberFormat="1" applyFont="1" applyFill="1"/>
    <xf numFmtId="0" fontId="2" fillId="0" borderId="0" xfId="0" applyFont="1" applyAlignment="1">
      <alignment horizontal="left" vertical="top"/>
    </xf>
    <xf numFmtId="0" fontId="3" fillId="0" borderId="0" xfId="0" applyFont="1" applyAlignment="1">
      <alignment horizontal="left" vertical="top"/>
    </xf>
    <xf numFmtId="14" fontId="3" fillId="0" borderId="0" xfId="0" applyNumberFormat="1" applyFont="1" applyAlignment="1">
      <alignment horizontal="left" vertical="top" wrapText="1"/>
    </xf>
    <xf numFmtId="0" fontId="4" fillId="2" borderId="0" xfId="0" applyFont="1" applyFill="1" applyAlignment="1">
      <alignment vertical="center"/>
    </xf>
    <xf numFmtId="0" fontId="3" fillId="0" borderId="0" xfId="0" applyFont="1"/>
    <xf numFmtId="0" fontId="2" fillId="0" borderId="0" xfId="0" applyFont="1" applyAlignment="1">
      <alignment vertical="top" wrapText="1"/>
    </xf>
    <xf numFmtId="0" fontId="6" fillId="0" borderId="0" xfId="0" applyFont="1"/>
    <xf numFmtId="0" fontId="2" fillId="0" borderId="0" xfId="0" applyFont="1"/>
    <xf numFmtId="0" fontId="7" fillId="0" borderId="0" xfId="0" applyFont="1"/>
    <xf numFmtId="0" fontId="2" fillId="4" borderId="0" xfId="0" applyFont="1" applyFill="1"/>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DCEEF1"/>
      <rgbColor rgb="FF660066"/>
      <rgbColor rgb="FFFF8080"/>
      <rgbColor rgb="FF0066CC"/>
      <rgbColor rgb="FFCCCCFF"/>
      <rgbColor rgb="FF000080"/>
      <rgbColor rgb="FFFF00FF"/>
      <rgbColor rgb="FFFFFF00"/>
      <rgbColor rgb="FF00FFFF"/>
      <rgbColor rgb="FF800080"/>
      <rgbColor rgb="FF800000"/>
      <rgbColor rgb="FF008080"/>
      <rgbColor rgb="FF0000FF"/>
      <rgbColor rgb="FF00B9BD"/>
      <rgbColor rgb="FFF2F2F2"/>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1054100</xdr:colOff>
      <xdr:row>3</xdr:row>
      <xdr:rowOff>488607</xdr:rowOff>
    </xdr:to>
    <xdr:pic>
      <xdr:nvPicPr>
        <xdr:cNvPr id="3" name="Graphic 2">
          <a:extLst>
            <a:ext uri="{FF2B5EF4-FFF2-40B4-BE49-F238E27FC236}">
              <a16:creationId xmlns:a16="http://schemas.microsoft.com/office/drawing/2014/main" id="{7039A6C7-EF9D-BEBB-7113-030E7277777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2705100" cy="1060107"/>
        </a:xfrm>
        <a:prstGeom prst="rect">
          <a:avLst/>
        </a:prstGeom>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4:J13"/>
  <sheetViews>
    <sheetView showGridLines="0" tabSelected="1" zoomScaleNormal="100" workbookViewId="0">
      <selection activeCell="A8" sqref="A8"/>
    </sheetView>
  </sheetViews>
  <sheetFormatPr baseColWidth="10" defaultColWidth="8.5" defaultRowHeight="15" x14ac:dyDescent="0.2"/>
  <cols>
    <col min="1" max="1" width="3.1640625" customWidth="1"/>
    <col min="2" max="2" width="18.5" customWidth="1"/>
    <col min="3" max="3" width="31.5" customWidth="1"/>
    <col min="4" max="4" width="37" customWidth="1"/>
    <col min="5" max="5" width="14.5" customWidth="1"/>
    <col min="6" max="7" width="13.83203125" customWidth="1"/>
    <col min="8" max="8" width="55.1640625" customWidth="1"/>
    <col min="9" max="9" width="20.5" customWidth="1"/>
    <col min="10" max="10" width="8.5" customWidth="1"/>
  </cols>
  <sheetData>
    <row r="4" spans="2:10" ht="60.75" customHeight="1" x14ac:dyDescent="0.3">
      <c r="B4" s="8" t="s">
        <v>0</v>
      </c>
    </row>
    <row r="5" spans="2:10" ht="25.5" customHeight="1" x14ac:dyDescent="0.2">
      <c r="B5" s="75" t="s">
        <v>1</v>
      </c>
      <c r="C5" s="77">
        <v>46328</v>
      </c>
    </row>
    <row r="6" spans="2:10" ht="16" x14ac:dyDescent="0.2">
      <c r="B6" s="75" t="s">
        <v>2</v>
      </c>
      <c r="C6" s="76" t="s">
        <v>3</v>
      </c>
    </row>
    <row r="8" spans="2:10" ht="57.75" customHeight="1" x14ac:dyDescent="0.2">
      <c r="B8" s="78" t="s">
        <v>4</v>
      </c>
      <c r="C8" s="78"/>
      <c r="D8" s="78"/>
      <c r="E8" s="78"/>
      <c r="F8" s="78"/>
      <c r="G8" s="78"/>
      <c r="H8" s="78"/>
      <c r="I8" s="78"/>
      <c r="J8" s="78"/>
    </row>
    <row r="9" spans="2:10" ht="19.5" customHeight="1" x14ac:dyDescent="0.2">
      <c r="B9" s="79" t="s">
        <v>898</v>
      </c>
      <c r="C9" s="79"/>
      <c r="D9" s="79"/>
      <c r="E9" s="79"/>
      <c r="F9" s="79"/>
      <c r="G9" s="79"/>
      <c r="H9" s="79"/>
      <c r="I9" s="79"/>
      <c r="J9" s="79"/>
    </row>
    <row r="11" spans="2:10" ht="15" customHeight="1" x14ac:dyDescent="0.2">
      <c r="B11" s="80" t="s">
        <v>5</v>
      </c>
      <c r="C11" s="80"/>
      <c r="D11" s="80"/>
      <c r="E11" s="80"/>
      <c r="F11" s="80"/>
      <c r="G11" s="80"/>
      <c r="H11" s="80"/>
      <c r="I11" s="80"/>
      <c r="J11" s="80"/>
    </row>
    <row r="12" spans="2:10" x14ac:dyDescent="0.2">
      <c r="B12" s="80"/>
      <c r="C12" s="80"/>
      <c r="D12" s="80"/>
      <c r="E12" s="80"/>
      <c r="F12" s="80"/>
      <c r="G12" s="80"/>
      <c r="H12" s="80"/>
      <c r="I12" s="80"/>
      <c r="J12" s="80"/>
    </row>
    <row r="13" spans="2:10" x14ac:dyDescent="0.2">
      <c r="B13" s="80"/>
      <c r="C13" s="80"/>
      <c r="D13" s="80"/>
      <c r="E13" s="80"/>
      <c r="F13" s="80"/>
      <c r="G13" s="80"/>
      <c r="H13" s="80"/>
      <c r="I13" s="80"/>
      <c r="J13" s="80"/>
    </row>
  </sheetData>
  <sheetProtection formatColumns="0" formatRows="0"/>
  <mergeCells count="3">
    <mergeCell ref="B8:J8"/>
    <mergeCell ref="B9:J9"/>
    <mergeCell ref="B11:J13"/>
  </mergeCells>
  <pageMargins left="0.75" right="0.75" top="1" bottom="1" header="0.511811023622047" footer="0.511811023622047"/>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41"/>
  <sheetViews>
    <sheetView showGridLines="0" zoomScaleNormal="100" workbookViewId="0">
      <selection activeCell="B42" sqref="B42"/>
    </sheetView>
  </sheetViews>
  <sheetFormatPr baseColWidth="10" defaultColWidth="8.5" defaultRowHeight="15" x14ac:dyDescent="0.2"/>
  <cols>
    <col min="1" max="1" width="3.1640625" customWidth="1"/>
    <col min="2" max="2" width="26" customWidth="1"/>
    <col min="3" max="5" width="20" customWidth="1"/>
    <col min="6" max="6" width="90" customWidth="1"/>
  </cols>
  <sheetData>
    <row r="1" spans="2:6" ht="30" customHeight="1" x14ac:dyDescent="0.3">
      <c r="B1" s="8" t="s">
        <v>6</v>
      </c>
    </row>
    <row r="2" spans="2:6" ht="16" x14ac:dyDescent="0.2">
      <c r="B2" s="9" t="s">
        <v>899</v>
      </c>
    </row>
    <row r="4" spans="2:6" ht="16" x14ac:dyDescent="0.2">
      <c r="B4" s="10" t="s">
        <v>7</v>
      </c>
      <c r="C4" s="11"/>
      <c r="D4" s="11"/>
      <c r="E4" s="11"/>
      <c r="F4" s="11"/>
    </row>
    <row r="5" spans="2:6" ht="63.75" customHeight="1" x14ac:dyDescent="0.2">
      <c r="B5" s="80" t="s">
        <v>8</v>
      </c>
      <c r="C5" s="80"/>
      <c r="D5" s="80"/>
      <c r="E5" s="80"/>
      <c r="F5" s="80"/>
    </row>
    <row r="6" spans="2:6" ht="16" x14ac:dyDescent="0.2">
      <c r="B6" s="10" t="s">
        <v>9</v>
      </c>
      <c r="C6" s="11"/>
      <c r="D6" s="11"/>
      <c r="E6" s="11"/>
      <c r="F6" s="11"/>
    </row>
    <row r="7" spans="2:6" ht="63.75" customHeight="1" x14ac:dyDescent="0.2">
      <c r="B7" s="80" t="s">
        <v>10</v>
      </c>
      <c r="C7" s="80"/>
      <c r="D7" s="80"/>
      <c r="E7" s="80"/>
      <c r="F7" s="80"/>
    </row>
    <row r="8" spans="2:6" ht="16" x14ac:dyDescent="0.2">
      <c r="B8" s="10" t="s">
        <v>11</v>
      </c>
      <c r="C8" s="11"/>
      <c r="D8" s="11"/>
      <c r="E8" s="11"/>
      <c r="F8" s="11"/>
    </row>
    <row r="9" spans="2:6" ht="16" x14ac:dyDescent="0.2">
      <c r="B9" s="12" t="s">
        <v>12</v>
      </c>
      <c r="C9" s="12" t="s">
        <v>13</v>
      </c>
      <c r="D9" s="13"/>
      <c r="E9" s="13"/>
      <c r="F9" s="13"/>
    </row>
    <row r="10" spans="2:6" ht="27" customHeight="1" x14ac:dyDescent="0.2">
      <c r="B10" s="7" t="s">
        <v>14</v>
      </c>
      <c r="C10" s="80" t="s">
        <v>15</v>
      </c>
      <c r="D10" s="80"/>
      <c r="E10" s="80"/>
      <c r="F10" s="80"/>
    </row>
    <row r="11" spans="2:6" ht="27" customHeight="1" x14ac:dyDescent="0.2">
      <c r="B11" s="7" t="s">
        <v>16</v>
      </c>
      <c r="C11" s="80" t="s">
        <v>17</v>
      </c>
      <c r="D11" s="80"/>
      <c r="E11" s="80"/>
      <c r="F11" s="80"/>
    </row>
    <row r="12" spans="2:6" ht="27" customHeight="1" x14ac:dyDescent="0.2">
      <c r="B12" s="7" t="s">
        <v>18</v>
      </c>
      <c r="C12" s="80" t="s">
        <v>19</v>
      </c>
      <c r="D12" s="80"/>
      <c r="E12" s="80"/>
      <c r="F12" s="80"/>
    </row>
    <row r="13" spans="2:6" ht="27" customHeight="1" x14ac:dyDescent="0.2">
      <c r="B13" s="7" t="s">
        <v>20</v>
      </c>
      <c r="C13" s="80" t="s">
        <v>21</v>
      </c>
      <c r="D13" s="80"/>
      <c r="E13" s="80"/>
      <c r="F13" s="80"/>
    </row>
    <row r="14" spans="2:6" ht="27" customHeight="1" x14ac:dyDescent="0.2">
      <c r="B14" s="7" t="s">
        <v>22</v>
      </c>
      <c r="C14" s="80" t="s">
        <v>23</v>
      </c>
      <c r="D14" s="80"/>
      <c r="E14" s="80"/>
      <c r="F14" s="80"/>
    </row>
    <row r="15" spans="2:6" ht="27" customHeight="1" x14ac:dyDescent="0.2">
      <c r="B15" s="7" t="s">
        <v>24</v>
      </c>
      <c r="C15" s="80" t="s">
        <v>25</v>
      </c>
      <c r="D15" s="80"/>
      <c r="E15" s="80"/>
      <c r="F15" s="80"/>
    </row>
    <row r="16" spans="2:6" ht="27" customHeight="1" x14ac:dyDescent="0.2">
      <c r="B16" s="7" t="s">
        <v>26</v>
      </c>
      <c r="C16" s="80" t="s">
        <v>27</v>
      </c>
      <c r="D16" s="80"/>
      <c r="E16" s="80"/>
      <c r="F16" s="80"/>
    </row>
    <row r="17" spans="2:6" ht="27" customHeight="1" x14ac:dyDescent="0.2">
      <c r="B17" s="7" t="s">
        <v>28</v>
      </c>
      <c r="C17" s="80" t="s">
        <v>29</v>
      </c>
      <c r="D17" s="80"/>
      <c r="E17" s="80"/>
      <c r="F17" s="80"/>
    </row>
    <row r="18" spans="2:6" ht="27" customHeight="1" x14ac:dyDescent="0.2">
      <c r="B18" s="7" t="s">
        <v>30</v>
      </c>
      <c r="C18" s="80" t="s">
        <v>31</v>
      </c>
      <c r="D18" s="80"/>
      <c r="E18" s="80"/>
      <c r="F18" s="80"/>
    </row>
    <row r="19" spans="2:6" ht="27" customHeight="1" x14ac:dyDescent="0.2">
      <c r="B19" s="7" t="s">
        <v>32</v>
      </c>
      <c r="C19" s="80" t="s">
        <v>33</v>
      </c>
      <c r="D19" s="80"/>
      <c r="E19" s="80"/>
      <c r="F19" s="80"/>
    </row>
    <row r="20" spans="2:6" ht="27" customHeight="1" x14ac:dyDescent="0.2">
      <c r="B20" s="7" t="s">
        <v>34</v>
      </c>
      <c r="C20" s="80" t="s">
        <v>35</v>
      </c>
      <c r="D20" s="80"/>
      <c r="E20" s="80"/>
      <c r="F20" s="80"/>
    </row>
    <row r="21" spans="2:6" ht="27" customHeight="1" x14ac:dyDescent="0.2">
      <c r="B21" s="7" t="s">
        <v>36</v>
      </c>
      <c r="C21" s="80" t="s">
        <v>37</v>
      </c>
      <c r="D21" s="80"/>
      <c r="E21" s="80"/>
      <c r="F21" s="80"/>
    </row>
    <row r="22" spans="2:6" ht="27" customHeight="1" x14ac:dyDescent="0.2">
      <c r="B22" s="7" t="s">
        <v>38</v>
      </c>
      <c r="C22" s="80" t="s">
        <v>39</v>
      </c>
      <c r="D22" s="80"/>
      <c r="E22" s="80"/>
      <c r="F22" s="80"/>
    </row>
    <row r="23" spans="2:6" ht="27" customHeight="1" x14ac:dyDescent="0.2">
      <c r="B23" s="7" t="s">
        <v>40</v>
      </c>
      <c r="C23" s="80" t="s">
        <v>41</v>
      </c>
      <c r="D23" s="80"/>
      <c r="E23" s="80"/>
      <c r="F23" s="80"/>
    </row>
    <row r="24" spans="2:6" ht="27" customHeight="1" x14ac:dyDescent="0.2">
      <c r="B24" s="7" t="s">
        <v>42</v>
      </c>
      <c r="C24" s="80" t="s">
        <v>43</v>
      </c>
      <c r="D24" s="80"/>
      <c r="E24" s="80"/>
      <c r="F24" s="80"/>
    </row>
    <row r="26" spans="2:6" ht="16" x14ac:dyDescent="0.2">
      <c r="B26" s="10" t="s">
        <v>44</v>
      </c>
      <c r="C26" s="11"/>
      <c r="D26" s="11"/>
      <c r="E26" s="11"/>
      <c r="F26" s="11"/>
    </row>
    <row r="27" spans="2:6" ht="16" x14ac:dyDescent="0.2">
      <c r="B27" s="81" t="s">
        <v>45</v>
      </c>
      <c r="C27" s="81"/>
      <c r="D27" s="81"/>
      <c r="E27" s="81"/>
      <c r="F27" s="81"/>
    </row>
    <row r="28" spans="2:6" ht="16" x14ac:dyDescent="0.2">
      <c r="B28" s="82" t="s">
        <v>46</v>
      </c>
      <c r="C28" s="82"/>
      <c r="D28" s="82"/>
      <c r="E28" s="82"/>
      <c r="F28" s="82"/>
    </row>
    <row r="29" spans="2:6" ht="16" x14ac:dyDescent="0.2">
      <c r="B29" s="83" t="s">
        <v>47</v>
      </c>
      <c r="C29" s="83"/>
      <c r="D29" s="83"/>
      <c r="E29" s="83"/>
      <c r="F29" s="83"/>
    </row>
    <row r="30" spans="2:6" ht="16" x14ac:dyDescent="0.2">
      <c r="B30" s="84" t="s">
        <v>48</v>
      </c>
      <c r="C30" s="84"/>
      <c r="D30" s="84"/>
      <c r="E30" s="84"/>
      <c r="F30" s="84"/>
    </row>
    <row r="32" spans="2:6" ht="16" x14ac:dyDescent="0.2">
      <c r="B32" s="10" t="s">
        <v>49</v>
      </c>
      <c r="C32" s="11"/>
      <c r="D32" s="11"/>
      <c r="E32" s="11"/>
      <c r="F32" s="11"/>
    </row>
    <row r="33" spans="2:6" ht="31.5" customHeight="1" x14ac:dyDescent="0.2">
      <c r="B33" s="80" t="s">
        <v>50</v>
      </c>
      <c r="C33" s="80"/>
      <c r="D33" s="80"/>
      <c r="E33" s="80"/>
      <c r="F33" s="80"/>
    </row>
    <row r="34" spans="2:6" ht="31.5" customHeight="1" x14ac:dyDescent="0.2">
      <c r="B34" s="80" t="s">
        <v>51</v>
      </c>
      <c r="C34" s="80"/>
      <c r="D34" s="80"/>
      <c r="E34" s="80"/>
      <c r="F34" s="80"/>
    </row>
    <row r="35" spans="2:6" ht="48" customHeight="1" x14ac:dyDescent="0.2">
      <c r="B35" s="80" t="s">
        <v>52</v>
      </c>
      <c r="C35" s="80"/>
      <c r="D35" s="80"/>
      <c r="E35" s="80"/>
      <c r="F35" s="80"/>
    </row>
    <row r="36" spans="2:6" ht="48" customHeight="1" x14ac:dyDescent="0.2">
      <c r="B36" s="80" t="s">
        <v>53</v>
      </c>
      <c r="C36" s="80"/>
      <c r="D36" s="80"/>
      <c r="E36" s="80"/>
      <c r="F36" s="80"/>
    </row>
    <row r="37" spans="2:6" ht="31.5" customHeight="1" x14ac:dyDescent="0.2">
      <c r="B37" s="80" t="s">
        <v>54</v>
      </c>
      <c r="C37" s="80"/>
      <c r="D37" s="80"/>
      <c r="E37" s="80"/>
      <c r="F37" s="80"/>
    </row>
    <row r="38" spans="2:6" ht="31.5" customHeight="1" x14ac:dyDescent="0.2">
      <c r="B38" s="80" t="s">
        <v>55</v>
      </c>
      <c r="C38" s="80"/>
      <c r="D38" s="80"/>
      <c r="E38" s="80"/>
      <c r="F38" s="80"/>
    </row>
    <row r="40" spans="2:6" ht="16" x14ac:dyDescent="0.2">
      <c r="B40" s="10" t="s">
        <v>2</v>
      </c>
      <c r="C40" s="11"/>
      <c r="D40" s="11"/>
      <c r="E40" s="11"/>
      <c r="F40" s="11"/>
    </row>
    <row r="41" spans="2:6" ht="31.5" customHeight="1" x14ac:dyDescent="0.2">
      <c r="B41" s="80" t="s">
        <v>900</v>
      </c>
      <c r="C41" s="80"/>
      <c r="D41" s="80"/>
      <c r="E41" s="80"/>
      <c r="F41" s="80"/>
    </row>
  </sheetData>
  <sheetProtection formatColumns="0" formatRows="0"/>
  <mergeCells count="28">
    <mergeCell ref="B37:F37"/>
    <mergeCell ref="B38:F38"/>
    <mergeCell ref="B41:F41"/>
    <mergeCell ref="B30:F30"/>
    <mergeCell ref="B33:F33"/>
    <mergeCell ref="B34:F34"/>
    <mergeCell ref="B35:F35"/>
    <mergeCell ref="B36:F36"/>
    <mergeCell ref="C23:F23"/>
    <mergeCell ref="C24:F24"/>
    <mergeCell ref="B27:F27"/>
    <mergeCell ref="B28:F28"/>
    <mergeCell ref="B29:F29"/>
    <mergeCell ref="C18:F18"/>
    <mergeCell ref="C19:F19"/>
    <mergeCell ref="C20:F20"/>
    <mergeCell ref="C21:F21"/>
    <mergeCell ref="C22:F22"/>
    <mergeCell ref="C13:F13"/>
    <mergeCell ref="C14:F14"/>
    <mergeCell ref="C15:F15"/>
    <mergeCell ref="C16:F16"/>
    <mergeCell ref="C17:F17"/>
    <mergeCell ref="B5:F5"/>
    <mergeCell ref="B7:F7"/>
    <mergeCell ref="C10:F10"/>
    <mergeCell ref="C11:F11"/>
    <mergeCell ref="C12:F12"/>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E53"/>
  <sheetViews>
    <sheetView showGridLines="0" zoomScaleNormal="100" workbookViewId="0"/>
  </sheetViews>
  <sheetFormatPr baseColWidth="10" defaultColWidth="8.5" defaultRowHeight="15" x14ac:dyDescent="0.2"/>
  <cols>
    <col min="1" max="1" width="3.1640625" customWidth="1"/>
    <col min="2" max="2" width="28" customWidth="1"/>
    <col min="3" max="3" width="80" customWidth="1"/>
    <col min="4" max="4" width="30" customWidth="1"/>
    <col min="5" max="5" width="18" customWidth="1"/>
  </cols>
  <sheetData>
    <row r="1" spans="2:5" ht="25" x14ac:dyDescent="0.25">
      <c r="B1" s="14" t="s">
        <v>56</v>
      </c>
    </row>
    <row r="3" spans="2:5" ht="16" x14ac:dyDescent="0.2">
      <c r="B3" s="10" t="s">
        <v>57</v>
      </c>
      <c r="C3" s="11"/>
      <c r="D3" s="11"/>
      <c r="E3" s="11"/>
    </row>
    <row r="4" spans="2:5" ht="30" customHeight="1" x14ac:dyDescent="0.2">
      <c r="B4" s="7" t="s">
        <v>58</v>
      </c>
      <c r="C4" s="80" t="s">
        <v>59</v>
      </c>
      <c r="D4" s="80"/>
      <c r="E4" s="80"/>
    </row>
    <row r="5" spans="2:5" ht="30" customHeight="1" x14ac:dyDescent="0.2">
      <c r="B5" s="7" t="s">
        <v>60</v>
      </c>
      <c r="C5" s="80" t="s">
        <v>61</v>
      </c>
      <c r="D5" s="80"/>
      <c r="E5" s="80"/>
    </row>
    <row r="6" spans="2:5" ht="30" customHeight="1" x14ac:dyDescent="0.2">
      <c r="B6" s="7" t="s">
        <v>62</v>
      </c>
      <c r="C6" s="80" t="s">
        <v>63</v>
      </c>
      <c r="D6" s="80"/>
      <c r="E6" s="80"/>
    </row>
    <row r="7" spans="2:5" ht="30" customHeight="1" x14ac:dyDescent="0.2">
      <c r="B7" s="7" t="s">
        <v>64</v>
      </c>
      <c r="C7" s="80" t="s">
        <v>65</v>
      </c>
      <c r="D7" s="80"/>
      <c r="E7" s="80"/>
    </row>
    <row r="8" spans="2:5" ht="30" customHeight="1" x14ac:dyDescent="0.2">
      <c r="B8" s="7" t="s">
        <v>66</v>
      </c>
      <c r="C8" s="80" t="s">
        <v>67</v>
      </c>
      <c r="D8" s="80"/>
      <c r="E8" s="80"/>
    </row>
    <row r="9" spans="2:5" ht="30" customHeight="1" x14ac:dyDescent="0.2">
      <c r="B9" s="7" t="s">
        <v>68</v>
      </c>
      <c r="C9" s="80" t="s">
        <v>69</v>
      </c>
      <c r="D9" s="80"/>
      <c r="E9" s="80"/>
    </row>
    <row r="10" spans="2:5" ht="30" customHeight="1" x14ac:dyDescent="0.2">
      <c r="B10" s="7" t="s">
        <v>70</v>
      </c>
      <c r="C10" s="80" t="s">
        <v>71</v>
      </c>
      <c r="D10" s="80"/>
      <c r="E10" s="80"/>
    </row>
    <row r="12" spans="2:5" ht="16" x14ac:dyDescent="0.2">
      <c r="B12" s="10" t="s">
        <v>72</v>
      </c>
      <c r="C12" s="11"/>
      <c r="D12" s="11"/>
      <c r="E12" s="11"/>
    </row>
    <row r="13" spans="2:5" ht="30" customHeight="1" x14ac:dyDescent="0.2">
      <c r="B13" s="7" t="s">
        <v>73</v>
      </c>
      <c r="C13" s="80" t="s">
        <v>74</v>
      </c>
      <c r="D13" s="80"/>
      <c r="E13" s="80"/>
    </row>
    <row r="14" spans="2:5" ht="30" customHeight="1" x14ac:dyDescent="0.2">
      <c r="B14" s="7" t="s">
        <v>75</v>
      </c>
      <c r="C14" s="80" t="s">
        <v>76</v>
      </c>
      <c r="D14" s="80"/>
      <c r="E14" s="80"/>
    </row>
    <row r="15" spans="2:5" ht="30" customHeight="1" x14ac:dyDescent="0.2">
      <c r="B15" s="7" t="s">
        <v>77</v>
      </c>
      <c r="C15" s="80" t="s">
        <v>78</v>
      </c>
      <c r="D15" s="80"/>
      <c r="E15" s="80"/>
    </row>
    <row r="16" spans="2:5" ht="30" customHeight="1" x14ac:dyDescent="0.2">
      <c r="B16" s="7" t="s">
        <v>79</v>
      </c>
      <c r="C16" s="80" t="s">
        <v>80</v>
      </c>
      <c r="D16" s="80"/>
      <c r="E16" s="80"/>
    </row>
    <row r="17" spans="2:5" ht="30" customHeight="1" x14ac:dyDescent="0.2">
      <c r="B17" s="7" t="s">
        <v>81</v>
      </c>
      <c r="C17" s="80" t="s">
        <v>82</v>
      </c>
      <c r="D17" s="80"/>
      <c r="E17" s="80"/>
    </row>
    <row r="18" spans="2:5" ht="30" customHeight="1" x14ac:dyDescent="0.2">
      <c r="B18" s="7" t="s">
        <v>83</v>
      </c>
      <c r="C18" s="80" t="s">
        <v>84</v>
      </c>
      <c r="D18" s="80"/>
      <c r="E18" s="80"/>
    </row>
    <row r="19" spans="2:5" ht="30" customHeight="1" x14ac:dyDescent="0.2">
      <c r="B19" s="7" t="s">
        <v>85</v>
      </c>
      <c r="C19" s="80" t="s">
        <v>86</v>
      </c>
      <c r="D19" s="80"/>
      <c r="E19" s="80"/>
    </row>
    <row r="20" spans="2:5" ht="30" customHeight="1" x14ac:dyDescent="0.2">
      <c r="B20" s="7" t="s">
        <v>87</v>
      </c>
      <c r="C20" s="80" t="s">
        <v>88</v>
      </c>
      <c r="D20" s="80"/>
      <c r="E20" s="80"/>
    </row>
    <row r="23" spans="2:5" ht="16" x14ac:dyDescent="0.2">
      <c r="B23" s="10" t="s">
        <v>89</v>
      </c>
      <c r="C23" s="11"/>
      <c r="D23" s="11"/>
      <c r="E23" s="11"/>
    </row>
    <row r="24" spans="2:5" ht="16" x14ac:dyDescent="0.2">
      <c r="B24" s="12" t="s">
        <v>12</v>
      </c>
      <c r="C24" s="12" t="s">
        <v>90</v>
      </c>
      <c r="D24" s="12" t="s">
        <v>91</v>
      </c>
      <c r="E24" s="12" t="s">
        <v>92</v>
      </c>
    </row>
    <row r="25" spans="2:5" ht="43.5" customHeight="1" x14ac:dyDescent="0.2">
      <c r="B25" s="7" t="s">
        <v>18</v>
      </c>
      <c r="C25" s="6" t="s">
        <v>93</v>
      </c>
      <c r="D25" s="6" t="s">
        <v>94</v>
      </c>
      <c r="E25" s="4" t="s">
        <v>95</v>
      </c>
    </row>
    <row r="26" spans="2:5" ht="43.5" customHeight="1" x14ac:dyDescent="0.2">
      <c r="B26" s="7" t="s">
        <v>20</v>
      </c>
      <c r="C26" s="6" t="s">
        <v>96</v>
      </c>
      <c r="D26" s="6" t="s">
        <v>97</v>
      </c>
      <c r="E26" s="4" t="s">
        <v>95</v>
      </c>
    </row>
    <row r="27" spans="2:5" ht="43.5" customHeight="1" x14ac:dyDescent="0.2">
      <c r="B27" s="7" t="s">
        <v>22</v>
      </c>
      <c r="C27" s="6" t="s">
        <v>98</v>
      </c>
      <c r="D27" s="6" t="s">
        <v>99</v>
      </c>
      <c r="E27" s="4" t="s">
        <v>100</v>
      </c>
    </row>
    <row r="28" spans="2:5" ht="43.5" customHeight="1" x14ac:dyDescent="0.2">
      <c r="B28" s="7" t="s">
        <v>24</v>
      </c>
      <c r="C28" s="6" t="s">
        <v>101</v>
      </c>
      <c r="D28" s="6" t="s">
        <v>102</v>
      </c>
      <c r="E28" s="4" t="s">
        <v>100</v>
      </c>
    </row>
    <row r="29" spans="2:5" ht="43.5" customHeight="1" x14ac:dyDescent="0.2">
      <c r="B29" s="7" t="s">
        <v>26</v>
      </c>
      <c r="C29" s="6" t="s">
        <v>103</v>
      </c>
      <c r="D29" s="6" t="s">
        <v>104</v>
      </c>
      <c r="E29" s="4" t="s">
        <v>105</v>
      </c>
    </row>
    <row r="30" spans="2:5" ht="43.5" customHeight="1" x14ac:dyDescent="0.2">
      <c r="B30" s="7" t="s">
        <v>28</v>
      </c>
      <c r="C30" s="6" t="s">
        <v>106</v>
      </c>
      <c r="D30" s="6" t="s">
        <v>107</v>
      </c>
      <c r="E30" s="4" t="s">
        <v>108</v>
      </c>
    </row>
    <row r="31" spans="2:5" ht="43.5" customHeight="1" x14ac:dyDescent="0.2">
      <c r="B31" s="7" t="s">
        <v>30</v>
      </c>
      <c r="C31" s="6" t="s">
        <v>109</v>
      </c>
      <c r="D31" s="6" t="s">
        <v>110</v>
      </c>
      <c r="E31" s="4" t="s">
        <v>111</v>
      </c>
    </row>
    <row r="32" spans="2:5" ht="43.5" customHeight="1" x14ac:dyDescent="0.2">
      <c r="B32" s="7" t="s">
        <v>32</v>
      </c>
      <c r="C32" s="6" t="s">
        <v>112</v>
      </c>
      <c r="D32" s="6" t="s">
        <v>113</v>
      </c>
      <c r="E32" s="4" t="s">
        <v>114</v>
      </c>
    </row>
    <row r="35" spans="2:5" ht="16" x14ac:dyDescent="0.2">
      <c r="B35" s="10" t="s">
        <v>115</v>
      </c>
      <c r="C35" s="11"/>
      <c r="D35" s="11"/>
      <c r="E35" s="11"/>
    </row>
    <row r="36" spans="2:5" ht="30" customHeight="1" x14ac:dyDescent="0.2">
      <c r="B36" s="7" t="s">
        <v>116</v>
      </c>
      <c r="C36" s="6" t="s">
        <v>117</v>
      </c>
      <c r="D36" s="9" t="s">
        <v>118</v>
      </c>
      <c r="E36" s="4" t="s">
        <v>87</v>
      </c>
    </row>
    <row r="37" spans="2:5" ht="30" customHeight="1" x14ac:dyDescent="0.2">
      <c r="B37" s="7" t="s">
        <v>119</v>
      </c>
      <c r="C37" s="6" t="s">
        <v>120</v>
      </c>
      <c r="D37" s="9" t="s">
        <v>121</v>
      </c>
      <c r="E37" s="4" t="s">
        <v>87</v>
      </c>
    </row>
    <row r="38" spans="2:5" ht="30" customHeight="1" x14ac:dyDescent="0.2">
      <c r="B38" s="7" t="s">
        <v>122</v>
      </c>
      <c r="C38" s="6" t="s">
        <v>123</v>
      </c>
      <c r="D38" s="9" t="s">
        <v>124</v>
      </c>
      <c r="E38" s="4" t="s">
        <v>87</v>
      </c>
    </row>
    <row r="39" spans="2:5" ht="30" customHeight="1" x14ac:dyDescent="0.2">
      <c r="B39" s="7" t="s">
        <v>125</v>
      </c>
      <c r="C39" s="6" t="s">
        <v>126</v>
      </c>
      <c r="D39" s="9" t="s">
        <v>127</v>
      </c>
      <c r="E39" s="4" t="s">
        <v>81</v>
      </c>
    </row>
    <row r="40" spans="2:5" ht="30" customHeight="1" x14ac:dyDescent="0.2">
      <c r="B40" s="7" t="s">
        <v>128</v>
      </c>
      <c r="C40" s="6" t="s">
        <v>129</v>
      </c>
      <c r="D40" s="9" t="s">
        <v>130</v>
      </c>
      <c r="E40" s="4" t="s">
        <v>131</v>
      </c>
    </row>
    <row r="41" spans="2:5" ht="30" customHeight="1" x14ac:dyDescent="0.2">
      <c r="B41" s="7" t="s">
        <v>132</v>
      </c>
      <c r="C41" s="6" t="s">
        <v>133</v>
      </c>
      <c r="D41" s="9" t="s">
        <v>134</v>
      </c>
      <c r="E41" s="4" t="s">
        <v>87</v>
      </c>
    </row>
    <row r="42" spans="2:5" ht="30" customHeight="1" x14ac:dyDescent="0.2">
      <c r="B42" s="7" t="s">
        <v>135</v>
      </c>
      <c r="C42" s="6" t="s">
        <v>136</v>
      </c>
      <c r="D42" s="9" t="s">
        <v>137</v>
      </c>
      <c r="E42" s="4" t="s">
        <v>87</v>
      </c>
    </row>
    <row r="43" spans="2:5" ht="30" customHeight="1" x14ac:dyDescent="0.2">
      <c r="B43" s="7" t="s">
        <v>138</v>
      </c>
      <c r="C43" s="6" t="s">
        <v>139</v>
      </c>
      <c r="D43" s="9" t="s">
        <v>137</v>
      </c>
      <c r="E43" s="4" t="s">
        <v>87</v>
      </c>
    </row>
    <row r="44" spans="2:5" ht="30" customHeight="1" x14ac:dyDescent="0.2">
      <c r="B44" s="7" t="s">
        <v>140</v>
      </c>
      <c r="C44" s="6" t="s">
        <v>141</v>
      </c>
      <c r="D44" s="9" t="s">
        <v>142</v>
      </c>
      <c r="E44" s="4" t="s">
        <v>143</v>
      </c>
    </row>
    <row r="45" spans="2:5" ht="30" customHeight="1" x14ac:dyDescent="0.2">
      <c r="B45" s="7" t="s">
        <v>144</v>
      </c>
      <c r="C45" s="6" t="s">
        <v>145</v>
      </c>
      <c r="D45" s="9" t="s">
        <v>146</v>
      </c>
      <c r="E45" s="4" t="s">
        <v>87</v>
      </c>
    </row>
    <row r="46" spans="2:5" ht="30" customHeight="1" x14ac:dyDescent="0.2">
      <c r="B46" s="7" t="s">
        <v>147</v>
      </c>
      <c r="C46" s="6" t="s">
        <v>148</v>
      </c>
      <c r="D46" s="9" t="s">
        <v>149</v>
      </c>
      <c r="E46" s="4" t="s">
        <v>87</v>
      </c>
    </row>
    <row r="47" spans="2:5" ht="30" customHeight="1" x14ac:dyDescent="0.2">
      <c r="B47" s="7" t="s">
        <v>150</v>
      </c>
      <c r="C47" s="6" t="s">
        <v>151</v>
      </c>
      <c r="D47" s="9" t="s">
        <v>152</v>
      </c>
      <c r="E47" s="4" t="s">
        <v>153</v>
      </c>
    </row>
    <row r="48" spans="2:5" ht="30" customHeight="1" x14ac:dyDescent="0.2">
      <c r="B48" s="7" t="s">
        <v>154</v>
      </c>
      <c r="C48" s="6" t="s">
        <v>155</v>
      </c>
      <c r="D48" s="9" t="s">
        <v>156</v>
      </c>
      <c r="E48" s="4" t="s">
        <v>157</v>
      </c>
    </row>
    <row r="49" spans="2:5" ht="30" customHeight="1" x14ac:dyDescent="0.2">
      <c r="B49" s="7" t="s">
        <v>158</v>
      </c>
      <c r="C49" s="6" t="s">
        <v>159</v>
      </c>
      <c r="D49" s="9" t="s">
        <v>160</v>
      </c>
      <c r="E49" s="4" t="s">
        <v>87</v>
      </c>
    </row>
    <row r="50" spans="2:5" ht="30" customHeight="1" x14ac:dyDescent="0.2">
      <c r="B50" s="7" t="s">
        <v>161</v>
      </c>
      <c r="C50" s="6" t="s">
        <v>162</v>
      </c>
      <c r="D50" s="9" t="s">
        <v>163</v>
      </c>
      <c r="E50" s="4" t="s">
        <v>87</v>
      </c>
    </row>
    <row r="51" spans="2:5" ht="30" customHeight="1" x14ac:dyDescent="0.2">
      <c r="B51" s="7" t="s">
        <v>164</v>
      </c>
      <c r="C51" s="6" t="s">
        <v>165</v>
      </c>
      <c r="D51" s="9" t="s">
        <v>166</v>
      </c>
      <c r="E51" s="4" t="s">
        <v>87</v>
      </c>
    </row>
    <row r="52" spans="2:5" ht="30" customHeight="1" x14ac:dyDescent="0.2">
      <c r="B52" s="7" t="s">
        <v>167</v>
      </c>
      <c r="C52" s="6" t="s">
        <v>168</v>
      </c>
      <c r="D52" s="9" t="s">
        <v>169</v>
      </c>
      <c r="E52" s="4" t="s">
        <v>170</v>
      </c>
    </row>
    <row r="53" spans="2:5" ht="30" customHeight="1" x14ac:dyDescent="0.2">
      <c r="B53" s="7" t="s">
        <v>171</v>
      </c>
      <c r="C53" s="6" t="s">
        <v>172</v>
      </c>
      <c r="D53" s="9" t="s">
        <v>173</v>
      </c>
      <c r="E53" s="4" t="s">
        <v>174</v>
      </c>
    </row>
  </sheetData>
  <sheetProtection password="8666" sheet="1" formatColumns="0" formatRows="0"/>
  <mergeCells count="15">
    <mergeCell ref="C16:E16"/>
    <mergeCell ref="C17:E17"/>
    <mergeCell ref="C18:E18"/>
    <mergeCell ref="C19:E19"/>
    <mergeCell ref="C20:E20"/>
    <mergeCell ref="C9:E9"/>
    <mergeCell ref="C10:E10"/>
    <mergeCell ref="C13:E13"/>
    <mergeCell ref="C14:E14"/>
    <mergeCell ref="C15:E15"/>
    <mergeCell ref="C4:E4"/>
    <mergeCell ref="C5:E5"/>
    <mergeCell ref="C6:E6"/>
    <mergeCell ref="C7:E7"/>
    <mergeCell ref="C8:E8"/>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J50"/>
  <sheetViews>
    <sheetView showGridLines="0" zoomScaleNormal="100" workbookViewId="0">
      <pane xSplit="2" ySplit="4" topLeftCell="C5" activePane="bottomRight" state="frozen"/>
      <selection pane="topRight" activeCell="C1" sqref="C1"/>
      <selection pane="bottomLeft" activeCell="A5" sqref="A5"/>
      <selection pane="bottomRight" activeCell="B25" sqref="B25"/>
    </sheetView>
  </sheetViews>
  <sheetFormatPr baseColWidth="10" defaultColWidth="8.5" defaultRowHeight="15" x14ac:dyDescent="0.2"/>
  <cols>
    <col min="1" max="1" width="3.1640625" customWidth="1"/>
    <col min="2" max="2" width="62" customWidth="1"/>
    <col min="3" max="10" width="21" customWidth="1"/>
  </cols>
  <sheetData>
    <row r="1" spans="2:10" ht="25" x14ac:dyDescent="0.25">
      <c r="B1" s="14" t="s">
        <v>175</v>
      </c>
    </row>
    <row r="2" spans="2:10" ht="16" x14ac:dyDescent="0.2">
      <c r="B2" s="9" t="s">
        <v>176</v>
      </c>
    </row>
    <row r="4" spans="2:10" ht="30" customHeight="1" x14ac:dyDescent="0.2">
      <c r="B4" s="12" t="s">
        <v>177</v>
      </c>
      <c r="C4" s="15" t="s">
        <v>18</v>
      </c>
      <c r="D4" s="15" t="s">
        <v>20</v>
      </c>
      <c r="E4" s="15" t="s">
        <v>22</v>
      </c>
      <c r="F4" s="15" t="s">
        <v>24</v>
      </c>
      <c r="G4" s="15" t="s">
        <v>26</v>
      </c>
      <c r="H4" s="15" t="s">
        <v>28</v>
      </c>
      <c r="I4" s="15" t="s">
        <v>30</v>
      </c>
      <c r="J4" s="15" t="s">
        <v>32</v>
      </c>
    </row>
    <row r="5" spans="2:10" ht="16" x14ac:dyDescent="0.2">
      <c r="B5" s="4" t="s">
        <v>178</v>
      </c>
      <c r="C5" s="4" t="str">
        <f>'S1 T1 Distributed default'!$D$21</f>
        <v>Track 1</v>
      </c>
      <c r="D5" s="4" t="str">
        <f>'S1M T1 Distributed measured'!$D$21</f>
        <v>Track 1</v>
      </c>
      <c r="E5" s="4" t="str">
        <f>'S2 T2 Mechanised soil'!$D$21</f>
        <v>Track 2</v>
      </c>
      <c r="F5" s="4" t="str">
        <f>'S2M T2 Calculated route'!$D$21</f>
        <v>Track 2</v>
      </c>
      <c r="G5" s="4" t="str">
        <f>'S3 T3 Industrial soil'!$D$21</f>
        <v>Track 3</v>
      </c>
      <c r="H5" s="4" t="str">
        <f>'S4 T1 Field residue F1'!$D$21</f>
        <v>Track 1</v>
      </c>
      <c r="I5" s="4" t="str">
        <f>'S5 T2 Concrete A2'!$D$21</f>
        <v>Track 2</v>
      </c>
      <c r="J5" s="4" t="str">
        <f>'S6 T3 Biosolids vault A3'!$D$21</f>
        <v>Track 3</v>
      </c>
    </row>
    <row r="6" spans="2:10" ht="16" x14ac:dyDescent="0.2">
      <c r="B6" s="4" t="s">
        <v>179</v>
      </c>
      <c r="C6" s="4" t="str">
        <f>'S1 T1 Distributed default'!$D$22</f>
        <v>A1: Soil</v>
      </c>
      <c r="D6" s="4" t="str">
        <f>'S1M T1 Distributed measured'!$D$22</f>
        <v>A1: Soil</v>
      </c>
      <c r="E6" s="4" t="str">
        <f>'S2 T2 Mechanised soil'!$D$22</f>
        <v>A1: Soil</v>
      </c>
      <c r="F6" s="4" t="str">
        <f>'S2M T2 Calculated route'!$D$22</f>
        <v>A1: Soil</v>
      </c>
      <c r="G6" s="4" t="str">
        <f>'S3 T3 Industrial soil'!$D$22</f>
        <v>A1: Soil</v>
      </c>
      <c r="H6" s="4" t="str">
        <f>'S4 T1 Field residue F1'!$D$22</f>
        <v>A1: Soil</v>
      </c>
      <c r="I6" s="4" t="str">
        <f>'S5 T2 Concrete A2'!$D$22</f>
        <v>A2: Engineered materials</v>
      </c>
      <c r="J6" s="4" t="str">
        <f>'S6 T3 Biosolids vault A3'!$D$22</f>
        <v>A3: Anoxic vault</v>
      </c>
    </row>
    <row r="7" spans="2:10" ht="16" x14ac:dyDescent="0.2">
      <c r="B7" s="4" t="s">
        <v>180</v>
      </c>
      <c r="C7" s="4" t="str">
        <f>'S1 T1 Distributed default'!$D$23</f>
        <v>F3: Restorative (invasive)</v>
      </c>
      <c r="D7" s="4" t="str">
        <f>'S1M T1 Distributed measured'!$D$23</f>
        <v>F3: Restorative (invasive)</v>
      </c>
      <c r="E7" s="4" t="str">
        <f>'S2 T2 Mechanised soil'!$D$23</f>
        <v>F2: Processing residues</v>
      </c>
      <c r="F7" s="4" t="str">
        <f>'S2M T2 Calculated route'!$D$23</f>
        <v>F2: Processing residues</v>
      </c>
      <c r="G7" s="4" t="str">
        <f>'S3 T3 Industrial soil'!$D$23</f>
        <v>F2: Processing residues</v>
      </c>
      <c r="H7" s="4" t="str">
        <f>'S4 T1 Field residue F1'!$D$23</f>
        <v>F1: Field residues</v>
      </c>
      <c r="I7" s="4" t="str">
        <f>'S5 T2 Concrete A2'!$D$23</f>
        <v>F2: Processing residues</v>
      </c>
      <c r="J7" s="4" t="str">
        <f>'S6 T3 Biosolids vault A3'!$D$23</f>
        <v>F6: Organic waste (Track 3)</v>
      </c>
    </row>
    <row r="8" spans="2:10" ht="16" x14ac:dyDescent="0.2">
      <c r="B8" s="4" t="s">
        <v>181</v>
      </c>
      <c r="C8" s="16">
        <f>'S1 T1 Distributed default'!$D$80</f>
        <v>0.55000000000000004</v>
      </c>
      <c r="D8" s="16">
        <f>'S1M T1 Distributed measured'!$D$80</f>
        <v>0.76</v>
      </c>
      <c r="E8" s="16">
        <f>'S2 T2 Mechanised soil'!$D$80</f>
        <v>0.74</v>
      </c>
      <c r="F8" s="16">
        <f>'S2M T2 Calculated route'!$D$80</f>
        <v>0.74</v>
      </c>
      <c r="G8" s="16">
        <f>'S3 T3 Industrial soil'!$D$80</f>
        <v>0.8</v>
      </c>
      <c r="H8" s="16">
        <f>'S4 T1 Field residue F1'!$D$80</f>
        <v>0.62</v>
      </c>
      <c r="I8" s="16">
        <f>'S5 T2 Concrete A2'!$D$80</f>
        <v>0.8</v>
      </c>
      <c r="J8" s="16">
        <f>'S6 T3 Biosolids vault A3'!$D$80</f>
        <v>0.34</v>
      </c>
    </row>
    <row r="9" spans="2:10" ht="16" x14ac:dyDescent="0.2">
      <c r="B9" s="4" t="s">
        <v>182</v>
      </c>
      <c r="C9" s="17">
        <f>'S1 T1 Distributed default'!$D$85</f>
        <v>0.4</v>
      </c>
      <c r="D9" s="17">
        <f>'S1M T1 Distributed measured'!$D$85</f>
        <v>0.3</v>
      </c>
      <c r="E9" s="17">
        <f>'S2 T2 Mechanised soil'!$D$85</f>
        <v>0.3</v>
      </c>
      <c r="F9" s="17">
        <f>'S2M T2 Calculated route'!$D$85</f>
        <v>0.3</v>
      </c>
      <c r="G9" s="17">
        <f>'S3 T3 Industrial soil'!$D$85</f>
        <v>0.3</v>
      </c>
      <c r="H9" s="17">
        <f>'S4 T1 Field residue F1'!$D$85</f>
        <v>0.35</v>
      </c>
      <c r="I9" s="17">
        <f>'S5 T2 Concrete A2'!$D$85</f>
        <v>0.3</v>
      </c>
      <c r="J9" s="17">
        <f>'S6 T3 Biosolids vault A3'!$D$85</f>
        <v>0.45</v>
      </c>
    </row>
    <row r="10" spans="2:10" ht="16" x14ac:dyDescent="0.2">
      <c r="B10" s="4" t="s">
        <v>183</v>
      </c>
      <c r="C10" s="18">
        <f>'S1 T1 Distributed default'!$D$27</f>
        <v>25</v>
      </c>
      <c r="D10" s="18">
        <f>'S1M T1 Distributed measured'!$D$27</f>
        <v>20</v>
      </c>
      <c r="E10" s="18">
        <f>'S2 T2 Mechanised soil'!$D$27</f>
        <v>24</v>
      </c>
      <c r="F10" s="18">
        <f>'S2M T2 Calculated route'!$D$27</f>
        <v>24</v>
      </c>
      <c r="G10" s="18">
        <f>'S3 T3 Industrial soil'!$D$27</f>
        <v>20</v>
      </c>
      <c r="H10" s="18">
        <f>'S4 T1 Field residue F1'!$D$27</f>
        <v>25</v>
      </c>
      <c r="I10" s="18">
        <f>'S5 T2 Concrete A2'!$D$27</f>
        <v>25</v>
      </c>
      <c r="J10" s="18">
        <f>'S6 T3 Biosolids vault A3'!$D$27</f>
        <v>25</v>
      </c>
    </row>
    <row r="11" spans="2:10" ht="16" x14ac:dyDescent="0.2">
      <c r="B11" s="4" t="s">
        <v>184</v>
      </c>
      <c r="C11" s="16">
        <f>'S1 T1 Distributed default'!$D$88</f>
        <v>0.754</v>
      </c>
      <c r="D11" s="16">
        <f>'S1M T1 Distributed measured'!$D$88</f>
        <v>0.82</v>
      </c>
      <c r="E11" s="16">
        <f>'S2 T2 Mechanised soil'!$D$88</f>
        <v>0.80700000000000005</v>
      </c>
      <c r="F11" s="16">
        <f>'S2M T2 Calculated route'!$D$88</f>
        <v>0.80700000000000005</v>
      </c>
      <c r="G11" s="16">
        <f>'S3 T3 Industrial soil'!$D$88</f>
        <v>0.82</v>
      </c>
      <c r="H11" s="16">
        <f>'S4 T1 Field residue F1'!$D$88</f>
        <v>0.78500000000000003</v>
      </c>
      <c r="I11" s="16">
        <f>'S5 T2 Concrete A2'!$D$88</f>
        <v>0.95</v>
      </c>
      <c r="J11" s="16">
        <f>'S6 T3 Biosolids vault A3'!$D$88</f>
        <v>0.95</v>
      </c>
    </row>
    <row r="12" spans="2:10" ht="16" x14ac:dyDescent="0.2">
      <c r="B12" s="4" t="s">
        <v>185</v>
      </c>
      <c r="C12" s="19">
        <f>'S1 T1 Distributed default'!$D$91</f>
        <v>0.02</v>
      </c>
      <c r="D12" s="19">
        <f>'S1M T1 Distributed measured'!$D$91</f>
        <v>0.02</v>
      </c>
      <c r="E12" s="19">
        <f>'S2 T2 Mechanised soil'!$D$91</f>
        <v>0.05</v>
      </c>
      <c r="F12" s="19">
        <f>'S2M T2 Calculated route'!$D$91</f>
        <v>0</v>
      </c>
      <c r="G12" s="19">
        <f>'S3 T3 Industrial soil'!$D$91</f>
        <v>0.05</v>
      </c>
      <c r="H12" s="19">
        <f>'S4 T1 Field residue F1'!$D$91</f>
        <v>0.02</v>
      </c>
      <c r="I12" s="19">
        <f>'S5 T2 Concrete A2'!$D$91</f>
        <v>0</v>
      </c>
      <c r="J12" s="19">
        <f>'S6 T3 Biosolids vault A3'!$D$91</f>
        <v>0</v>
      </c>
    </row>
    <row r="13" spans="2:10" ht="16" x14ac:dyDescent="0.2">
      <c r="B13" s="4" t="s">
        <v>186</v>
      </c>
      <c r="C13" s="20">
        <f>'S1 T1 Distributed default'!$D$36</f>
        <v>0.05</v>
      </c>
      <c r="D13" s="20">
        <f>'S1M T1 Distributed measured'!$D$36</f>
        <v>0.05</v>
      </c>
      <c r="E13" s="20">
        <f>'S2 T2 Mechanised soil'!$D$36</f>
        <v>0.05</v>
      </c>
      <c r="F13" s="20">
        <f>'S2M T2 Calculated route'!$D$36</f>
        <v>2.7416573867739415E-2</v>
      </c>
      <c r="G13" s="20">
        <f>'S3 T3 Industrial soil'!$D$36</f>
        <v>6.4012194668567248E-3</v>
      </c>
      <c r="H13" s="20">
        <f>'S4 T1 Field residue F1'!$D$36</f>
        <v>0.05</v>
      </c>
      <c r="I13" s="20">
        <f>'S5 T2 Concrete A2'!$D$36</f>
        <v>0.05</v>
      </c>
      <c r="J13" s="20">
        <f>'S6 T3 Biosolids vault A3'!$D$36</f>
        <v>1.2912878474779203E-2</v>
      </c>
    </row>
    <row r="14" spans="2:10" ht="16" x14ac:dyDescent="0.2">
      <c r="B14" s="4" t="s">
        <v>187</v>
      </c>
      <c r="C14" s="20">
        <f>'S1 T1 Distributed default'!$D$46</f>
        <v>0.1</v>
      </c>
      <c r="D14" s="20">
        <f>'S1M T1 Distributed measured'!$D$46</f>
        <v>0.1</v>
      </c>
      <c r="E14" s="20">
        <f>'S2 T2 Mechanised soil'!$D$46</f>
        <v>6.5000000000000002E-2</v>
      </c>
      <c r="F14" s="20">
        <f>'S2M T2 Calculated route'!$D$46</f>
        <v>6.5000000000000002E-2</v>
      </c>
      <c r="G14" s="20">
        <f>'S3 T3 Industrial soil'!$D$46</f>
        <v>3.4999999999999996E-2</v>
      </c>
      <c r="H14" s="20">
        <f>'S4 T1 Field residue F1'!$D$46</f>
        <v>0.1</v>
      </c>
      <c r="I14" s="20">
        <f>'S5 T2 Concrete A2'!$D$46</f>
        <v>0.03</v>
      </c>
      <c r="J14" s="20">
        <f>'S6 T3 Biosolids vault A3'!$D$46</f>
        <v>2.5000000000000001E-2</v>
      </c>
    </row>
    <row r="15" spans="2:10" ht="16" x14ac:dyDescent="0.2">
      <c r="B15" s="4" t="s">
        <v>188</v>
      </c>
      <c r="C15" s="21">
        <f>'S1 T1 Distributed default'!$N$136</f>
        <v>11602.5</v>
      </c>
      <c r="D15" s="21">
        <f>'S1M T1 Distributed measured'!$N$136</f>
        <v>12285</v>
      </c>
      <c r="E15" s="21">
        <f>'S2 T2 Mechanised soil'!$N$136</f>
        <v>16587</v>
      </c>
      <c r="F15" s="21">
        <f>'S2M T2 Calculated route'!$N$136</f>
        <v>16587</v>
      </c>
      <c r="G15" s="21">
        <f>'S3 T3 Industrial soil'!$N$136</f>
        <v>189658</v>
      </c>
      <c r="H15" s="21">
        <f>'S4 T1 Field residue F1'!$N$136</f>
        <v>6961.5</v>
      </c>
      <c r="I15" s="21">
        <f>'S5 T2 Concrete A2'!$N$136</f>
        <v>10997.999999999998</v>
      </c>
      <c r="J15" s="21">
        <f>'S6 T3 Biosolids vault A3'!$N$136</f>
        <v>79800</v>
      </c>
    </row>
    <row r="16" spans="2:10" ht="16" x14ac:dyDescent="0.2">
      <c r="B16" s="4" t="s">
        <v>189</v>
      </c>
      <c r="C16" s="21">
        <f>'S1 T1 Distributed default'!$N$139</f>
        <v>23398.375000000022</v>
      </c>
      <c r="D16" s="21">
        <f>'S1M T1 Distributed measured'!$N$139</f>
        <v>34234.200000000033</v>
      </c>
      <c r="E16" s="21">
        <f>'S2 T2 Mechanised soil'!$N$139</f>
        <v>45006.060000000034</v>
      </c>
      <c r="F16" s="21">
        <f>'S2M T2 Calculated route'!$N$139</f>
        <v>45006.060000000034</v>
      </c>
      <c r="G16" s="21">
        <f>'S3 T3 Industrial soil'!$N$139</f>
        <v>556330.13333333377</v>
      </c>
      <c r="H16" s="21">
        <f>'S4 T1 Field residue F1'!$N$139</f>
        <v>15825.810000000018</v>
      </c>
      <c r="I16" s="21">
        <f>'S5 T2 Concrete A2'!$N$139</f>
        <v>32260.800000000025</v>
      </c>
      <c r="J16" s="21">
        <f>'S6 T3 Biosolids vault A3'!$N$139</f>
        <v>99484.000000000102</v>
      </c>
    </row>
    <row r="17" spans="2:10" ht="16" x14ac:dyDescent="0.2">
      <c r="B17" s="4" t="s">
        <v>190</v>
      </c>
      <c r="C17" s="21">
        <f>'S1 T1 Distributed default'!$N$140</f>
        <v>16425.050892250012</v>
      </c>
      <c r="D17" s="21">
        <f>'S1M T1 Distributed measured'!$N$140</f>
        <v>26135.072964000028</v>
      </c>
      <c r="E17" s="21">
        <f>'S2 T2 Mechanised soil'!$N$140</f>
        <v>32778.701104050029</v>
      </c>
      <c r="F17" s="21">
        <f>'S2M T2 Calculated route'!$N$140</f>
        <v>35324.123461431911</v>
      </c>
      <c r="G17" s="21">
        <f>'S3 T3 Industrial soil'!$N$140</f>
        <v>430607.00585994252</v>
      </c>
      <c r="H17" s="21">
        <f>'S4 T1 Field residue F1'!$N$140</f>
        <v>11566.055851350013</v>
      </c>
      <c r="I17" s="21">
        <f>'S5 T2 Concrete A2'!$N$140</f>
        <v>29115.372000000028</v>
      </c>
      <c r="J17" s="21">
        <f>'S6 T3 Biosolids vault A3'!$N$140</f>
        <v>93289.406437924437</v>
      </c>
    </row>
    <row r="18" spans="2:10" ht="16" x14ac:dyDescent="0.2">
      <c r="B18" s="4" t="s">
        <v>191</v>
      </c>
      <c r="C18" s="21">
        <f>'S1 T1 Distributed default'!$N$151</f>
        <v>1901.9227500000002</v>
      </c>
      <c r="D18" s="21">
        <f>'S1M T1 Distributed measured'!$N$151</f>
        <v>2012.2830000000004</v>
      </c>
      <c r="E18" s="21">
        <f>'S2 T2 Mechanised soil'!$N$151</f>
        <v>2291.6564160000003</v>
      </c>
      <c r="F18" s="21">
        <f>'S2M T2 Calculated route'!$N$151</f>
        <v>2291.6564160000003</v>
      </c>
      <c r="G18" s="21">
        <f>'S3 T3 Industrial soil'!$N$151</f>
        <v>21417.895617599996</v>
      </c>
      <c r="H18" s="21">
        <f>'S4 T1 Field residue F1'!$N$151</f>
        <v>1133.9300700000001</v>
      </c>
      <c r="I18" s="21">
        <f>'S5 T2 Concrete A2'!$N$151</f>
        <v>1316.8049999999996</v>
      </c>
      <c r="J18" s="21">
        <f>'S6 T3 Biosolids vault A3'!$N$151</f>
        <v>13233.019999999999</v>
      </c>
    </row>
    <row r="19" spans="2:10" ht="16" x14ac:dyDescent="0.2">
      <c r="B19" s="4" t="s">
        <v>192</v>
      </c>
      <c r="C19" s="21">
        <f>'S1 T1 Distributed default'!$N$159</f>
        <v>104.55000000000001</v>
      </c>
      <c r="D19" s="21">
        <f>'S1M T1 Distributed measured'!$N$159</f>
        <v>110.7</v>
      </c>
      <c r="E19" s="21">
        <f>'S2 T2 Mechanised soil'!$N$159</f>
        <v>401.85</v>
      </c>
      <c r="F19" s="21">
        <f>'S2M T2 Calculated route'!$N$159</f>
        <v>401.85</v>
      </c>
      <c r="G19" s="21">
        <f>'S3 T3 Industrial soil'!$N$159</f>
        <v>3250</v>
      </c>
      <c r="H19" s="21">
        <f>'S4 T1 Field residue F1'!$N$159</f>
        <v>250.69320000000002</v>
      </c>
      <c r="I19" s="21">
        <f>'S5 T2 Concrete A2'!$N$159</f>
        <v>274.95</v>
      </c>
      <c r="J19" s="21">
        <f>'S6 T3 Biosolids vault A3'!$N$159</f>
        <v>4500</v>
      </c>
    </row>
    <row r="20" spans="2:10" ht="16" x14ac:dyDescent="0.2">
      <c r="B20" s="4" t="s">
        <v>193</v>
      </c>
      <c r="C20" s="21">
        <f>'S1 T1 Distributed default'!$N$168</f>
        <v>1441.8578142250012</v>
      </c>
      <c r="D20" s="21">
        <f>'S1M T1 Distributed measured'!$N$168</f>
        <v>2401.2089964000024</v>
      </c>
      <c r="E20" s="21">
        <f>'S2 T2 Mechanised soil'!$N$168</f>
        <v>1955.537654723252</v>
      </c>
      <c r="F20" s="21">
        <f>'S2M T2 Calculated route'!$N$168</f>
        <v>2120.9901079530737</v>
      </c>
      <c r="G20" s="21">
        <f>'S3 T3 Industrial soil'!$N$168</f>
        <v>14207.868858481983</v>
      </c>
      <c r="H20" s="21">
        <f>'S4 T1 Field residue F1'!$N$168</f>
        <v>1018.1432581350012</v>
      </c>
      <c r="I20" s="21">
        <f>'S5 T2 Concrete A2'!$N$168</f>
        <v>825.70851000000107</v>
      </c>
      <c r="J20" s="21">
        <f>'S6 T3 Biosolids vault A3'!$N$168</f>
        <v>1888.909660948111</v>
      </c>
    </row>
    <row r="21" spans="2:10" ht="16" x14ac:dyDescent="0.2">
      <c r="B21" s="4" t="s">
        <v>194</v>
      </c>
      <c r="C21" s="21">
        <f>'S1 T1 Distributed default'!$N$169</f>
        <v>180.23222677812515</v>
      </c>
      <c r="D21" s="21">
        <f>'S1M T1 Distributed measured'!$N$169</f>
        <v>300.1511245500003</v>
      </c>
      <c r="E21" s="21">
        <f>'S2 T2 Mechanised soil'!$N$169</f>
        <v>376.06493360062552</v>
      </c>
      <c r="F21" s="21">
        <f>'S2M T2 Calculated route'!$N$169</f>
        <v>407.88271306789886</v>
      </c>
      <c r="G21" s="21">
        <f>'S3 T3 Industrial soil'!$N$169</f>
        <v>5074.2388780292813</v>
      </c>
      <c r="H21" s="21">
        <f>'S4 T1 Field residue F1'!$N$169</f>
        <v>127.26790726687516</v>
      </c>
      <c r="I21" s="21">
        <f>'S5 T2 Concrete A2'!$N$169</f>
        <v>344.04521250000039</v>
      </c>
      <c r="J21" s="21">
        <f>'S6 T3 Biosolids vault A3'!$N$169</f>
        <v>944.45483047405548</v>
      </c>
    </row>
    <row r="22" spans="2:10" ht="16" x14ac:dyDescent="0.2">
      <c r="B22" s="4" t="s">
        <v>195</v>
      </c>
      <c r="C22" s="21">
        <f>'S1 T1 Distributed default'!$N$171</f>
        <v>12796.488101246883</v>
      </c>
      <c r="D22" s="21">
        <f>'S1M T1 Distributed measured'!$N$171</f>
        <v>21310.729843050023</v>
      </c>
      <c r="E22" s="21">
        <f>'S2 T2 Mechanised soil'!$N$171</f>
        <v>27753.59209972616</v>
      </c>
      <c r="F22" s="21">
        <f>'S2M T2 Calculated route'!$N$171</f>
        <v>30101.74422441093</v>
      </c>
      <c r="G22" s="21">
        <f>'S3 T3 Industrial soil'!$N$171</f>
        <v>386657.00250583119</v>
      </c>
      <c r="H22" s="21">
        <f>'S4 T1 Field residue F1'!$N$171</f>
        <v>9036.0214159481347</v>
      </c>
      <c r="I22" s="21">
        <f>'S5 T2 Concrete A2'!$N$171</f>
        <v>26353.86327750003</v>
      </c>
      <c r="J22" s="21">
        <f>'S6 T3 Biosolids vault A3'!$N$171</f>
        <v>72723.021946502267</v>
      </c>
    </row>
    <row r="23" spans="2:10" ht="16" x14ac:dyDescent="0.2">
      <c r="B23" s="4" t="s">
        <v>196</v>
      </c>
      <c r="C23" s="18">
        <f>'S1 T1 Distributed default'!$N$167</f>
        <v>0</v>
      </c>
      <c r="D23" s="18">
        <f>'S1M T1 Distributed measured'!$N$167</f>
        <v>0</v>
      </c>
      <c r="E23" s="18">
        <f>'S2 T2 Mechanised soil'!$N$167</f>
        <v>0</v>
      </c>
      <c r="F23" s="18">
        <f>'S2M T2 Calculated route'!$N$167</f>
        <v>0</v>
      </c>
      <c r="G23" s="18">
        <f>'S3 T3 Industrial soil'!$N$167</f>
        <v>0</v>
      </c>
      <c r="H23" s="18">
        <f>'S4 T1 Field residue F1'!$N$167</f>
        <v>0</v>
      </c>
      <c r="I23" s="18">
        <f>'S5 T2 Concrete A2'!$N$167</f>
        <v>0</v>
      </c>
      <c r="J23" s="18">
        <f>'S6 T3 Biosolids vault A3'!$N$167</f>
        <v>0</v>
      </c>
    </row>
    <row r="24" spans="2:10" ht="16" x14ac:dyDescent="0.2">
      <c r="B24" s="7" t="s">
        <v>197</v>
      </c>
      <c r="C24" s="22">
        <f t="shared" ref="C24:J24" si="0">IF(C15&gt;0,C22/C15,0)</f>
        <v>1.1029078303164734</v>
      </c>
      <c r="D24" s="22">
        <f t="shared" si="0"/>
        <v>1.7346951439194158</v>
      </c>
      <c r="E24" s="22">
        <f t="shared" si="0"/>
        <v>1.6732134864487949</v>
      </c>
      <c r="F24" s="22">
        <f t="shared" si="0"/>
        <v>1.814779298511541</v>
      </c>
      <c r="G24" s="22">
        <f t="shared" si="0"/>
        <v>2.0387065270425251</v>
      </c>
      <c r="H24" s="22">
        <f t="shared" si="0"/>
        <v>1.297999197866571</v>
      </c>
      <c r="I24" s="22">
        <f t="shared" si="0"/>
        <v>2.3962414327605051</v>
      </c>
      <c r="J24" s="22">
        <f t="shared" si="0"/>
        <v>0.91131606449250957</v>
      </c>
    </row>
    <row r="25" spans="2:10" ht="16" x14ac:dyDescent="0.2">
      <c r="B25" s="7" t="s">
        <v>198</v>
      </c>
      <c r="C25" s="23">
        <f t="shared" ref="C25:J25" si="1">IF(C16&gt;0,C22/C16,0)</f>
        <v>0.54689644478502764</v>
      </c>
      <c r="D25" s="23">
        <f t="shared" si="1"/>
        <v>0.62249825738734954</v>
      </c>
      <c r="E25" s="23">
        <f t="shared" si="1"/>
        <v>0.61666344709415</v>
      </c>
      <c r="F25" s="23">
        <f t="shared" si="1"/>
        <v>0.66883757930400722</v>
      </c>
      <c r="G25" s="23">
        <f t="shared" si="1"/>
        <v>0.69501358876449659</v>
      </c>
      <c r="H25" s="23">
        <f t="shared" si="1"/>
        <v>0.57096738909086642</v>
      </c>
      <c r="I25" s="23">
        <f t="shared" si="1"/>
        <v>0.81690048844108054</v>
      </c>
      <c r="J25" s="23">
        <f t="shared" si="1"/>
        <v>0.73100219076939199</v>
      </c>
    </row>
    <row r="27" spans="2:10" ht="16" x14ac:dyDescent="0.2">
      <c r="B27" s="7" t="s">
        <v>199</v>
      </c>
    </row>
    <row r="28" spans="2:10" ht="51" x14ac:dyDescent="0.2">
      <c r="B28" s="12" t="s">
        <v>200</v>
      </c>
      <c r="C28" s="15" t="s">
        <v>18</v>
      </c>
      <c r="D28" s="15" t="s">
        <v>20</v>
      </c>
      <c r="E28" s="15" t="s">
        <v>22</v>
      </c>
      <c r="F28" s="15" t="s">
        <v>24</v>
      </c>
      <c r="G28" s="15" t="s">
        <v>26</v>
      </c>
      <c r="H28" s="15" t="s">
        <v>28</v>
      </c>
      <c r="I28" s="15" t="s">
        <v>30</v>
      </c>
      <c r="J28" s="15" t="s">
        <v>32</v>
      </c>
    </row>
    <row r="29" spans="2:10" ht="16" x14ac:dyDescent="0.2">
      <c r="B29" s="4" t="s">
        <v>201</v>
      </c>
      <c r="C29" s="20">
        <f t="shared" ref="C29:J29" si="2">1-C11</f>
        <v>0.246</v>
      </c>
      <c r="D29" s="20">
        <f t="shared" si="2"/>
        <v>0.18000000000000005</v>
      </c>
      <c r="E29" s="20">
        <f t="shared" si="2"/>
        <v>0.19299999999999995</v>
      </c>
      <c r="F29" s="20">
        <f t="shared" si="2"/>
        <v>0.19299999999999995</v>
      </c>
      <c r="G29" s="20">
        <f t="shared" si="2"/>
        <v>0.18000000000000005</v>
      </c>
      <c r="H29" s="20">
        <f t="shared" si="2"/>
        <v>0.21499999999999997</v>
      </c>
      <c r="I29" s="20">
        <f t="shared" si="2"/>
        <v>5.0000000000000044E-2</v>
      </c>
      <c r="J29" s="20">
        <f t="shared" si="2"/>
        <v>5.0000000000000044E-2</v>
      </c>
    </row>
    <row r="30" spans="2:10" ht="16" x14ac:dyDescent="0.2">
      <c r="B30" s="4" t="s">
        <v>202</v>
      </c>
      <c r="C30" s="20">
        <f t="shared" ref="C30:J30" si="3">C11*C12</f>
        <v>1.508E-2</v>
      </c>
      <c r="D30" s="20">
        <f t="shared" si="3"/>
        <v>1.6399999999999998E-2</v>
      </c>
      <c r="E30" s="20">
        <f t="shared" si="3"/>
        <v>4.0350000000000004E-2</v>
      </c>
      <c r="F30" s="20">
        <f t="shared" si="3"/>
        <v>0</v>
      </c>
      <c r="G30" s="20">
        <f t="shared" si="3"/>
        <v>4.1000000000000002E-2</v>
      </c>
      <c r="H30" s="20">
        <f t="shared" si="3"/>
        <v>1.5700000000000002E-2</v>
      </c>
      <c r="I30" s="20">
        <f t="shared" si="3"/>
        <v>0</v>
      </c>
      <c r="J30" s="20">
        <f t="shared" si="3"/>
        <v>0</v>
      </c>
    </row>
    <row r="31" spans="2:10" ht="16" x14ac:dyDescent="0.2">
      <c r="B31" s="4" t="s">
        <v>186</v>
      </c>
      <c r="C31" s="20">
        <f t="shared" ref="C31:J31" si="4">C11*(1-C12)*C13</f>
        <v>3.6946E-2</v>
      </c>
      <c r="D31" s="20">
        <f t="shared" si="4"/>
        <v>4.018E-2</v>
      </c>
      <c r="E31" s="20">
        <f t="shared" si="4"/>
        <v>3.8332500000000005E-2</v>
      </c>
      <c r="F31" s="20">
        <f t="shared" si="4"/>
        <v>2.2125175111265709E-2</v>
      </c>
      <c r="G31" s="20">
        <f t="shared" si="4"/>
        <v>4.9865499646813884E-3</v>
      </c>
      <c r="H31" s="20">
        <f t="shared" si="4"/>
        <v>3.8464999999999999E-2</v>
      </c>
      <c r="I31" s="20">
        <f t="shared" si="4"/>
        <v>4.7500000000000001E-2</v>
      </c>
      <c r="J31" s="20">
        <f t="shared" si="4"/>
        <v>1.2267234551040243E-2</v>
      </c>
    </row>
    <row r="32" spans="2:10" ht="16" x14ac:dyDescent="0.2">
      <c r="B32" s="4" t="s">
        <v>203</v>
      </c>
      <c r="C32" s="20">
        <f t="shared" ref="C32:J32" si="5">IF(C16&gt;0,C18/C16,0)</f>
        <v>8.1284394749635322E-2</v>
      </c>
      <c r="D32" s="20">
        <f t="shared" si="5"/>
        <v>5.877990430622005E-2</v>
      </c>
      <c r="E32" s="20">
        <f t="shared" si="5"/>
        <v>5.091884106273685E-2</v>
      </c>
      <c r="F32" s="20">
        <f t="shared" si="5"/>
        <v>5.091884106273685E-2</v>
      </c>
      <c r="G32" s="20">
        <f t="shared" si="5"/>
        <v>3.8498535912968666E-2</v>
      </c>
      <c r="H32" s="20">
        <f t="shared" si="5"/>
        <v>7.1650681386924195E-2</v>
      </c>
      <c r="I32" s="20">
        <f t="shared" si="5"/>
        <v>4.0817493676536185E-2</v>
      </c>
      <c r="J32" s="20">
        <f t="shared" si="5"/>
        <v>0.13301656547786564</v>
      </c>
    </row>
    <row r="33" spans="2:10" ht="16" x14ac:dyDescent="0.2">
      <c r="B33" s="4" t="s">
        <v>204</v>
      </c>
      <c r="C33" s="20">
        <f t="shared" ref="C33:J33" si="6">IF(C16&gt;0,C19/C16,0)</f>
        <v>4.4682590137135551E-3</v>
      </c>
      <c r="D33" s="20">
        <f t="shared" si="6"/>
        <v>3.2336084967663882E-3</v>
      </c>
      <c r="E33" s="20">
        <f t="shared" si="6"/>
        <v>8.9287975885913966E-3</v>
      </c>
      <c r="F33" s="20">
        <f t="shared" si="6"/>
        <v>8.9287975885913966E-3</v>
      </c>
      <c r="G33" s="20">
        <f t="shared" si="6"/>
        <v>5.8418550520122781E-3</v>
      </c>
      <c r="H33" s="20">
        <f t="shared" si="6"/>
        <v>1.5840781609282543E-2</v>
      </c>
      <c r="I33" s="20">
        <f t="shared" si="6"/>
        <v>8.5227272727272652E-3</v>
      </c>
      <c r="J33" s="20">
        <f t="shared" si="6"/>
        <v>4.5233404366531255E-2</v>
      </c>
    </row>
    <row r="34" spans="2:10" ht="16" x14ac:dyDescent="0.2">
      <c r="B34" s="4" t="s">
        <v>205</v>
      </c>
      <c r="C34" s="20">
        <f t="shared" ref="C34:J34" si="7">IF(C16&gt;0,C20/C16,0)</f>
        <v>6.1622134623665101E-2</v>
      </c>
      <c r="D34" s="20">
        <f t="shared" si="7"/>
        <v>7.0140648719701354E-2</v>
      </c>
      <c r="E34" s="20">
        <f t="shared" si="7"/>
        <v>4.3450540987663676E-2</v>
      </c>
      <c r="F34" s="20">
        <f t="shared" si="7"/>
        <v>4.7126767105431407E-2</v>
      </c>
      <c r="G34" s="20">
        <f t="shared" si="7"/>
        <v>2.553855706746181E-2</v>
      </c>
      <c r="H34" s="20">
        <f t="shared" si="7"/>
        <v>6.4334353700379321E-2</v>
      </c>
      <c r="I34" s="20">
        <f t="shared" si="7"/>
        <v>2.5594793371522109E-2</v>
      </c>
      <c r="J34" s="20">
        <f t="shared" si="7"/>
        <v>1.8987069890114078E-2</v>
      </c>
    </row>
    <row r="35" spans="2:10" ht="16" x14ac:dyDescent="0.2">
      <c r="B35" s="4" t="s">
        <v>206</v>
      </c>
      <c r="C35" s="20">
        <f t="shared" ref="C35:J35" si="8">IF(C16&gt;0,C21/C16,0)</f>
        <v>7.7027668279581376E-3</v>
      </c>
      <c r="D35" s="20">
        <f t="shared" si="8"/>
        <v>8.7675810899626692E-3</v>
      </c>
      <c r="E35" s="20">
        <f t="shared" si="8"/>
        <v>8.3558732668584015E-3</v>
      </c>
      <c r="F35" s="20">
        <f t="shared" si="8"/>
        <v>9.0628398279675795E-3</v>
      </c>
      <c r="G35" s="20">
        <f t="shared" si="8"/>
        <v>9.1209132383792222E-3</v>
      </c>
      <c r="H35" s="20">
        <f t="shared" si="8"/>
        <v>8.0417942125474151E-3</v>
      </c>
      <c r="I35" s="20">
        <f t="shared" si="8"/>
        <v>1.066449723813421E-2</v>
      </c>
      <c r="J35" s="20">
        <f t="shared" si="8"/>
        <v>9.4935349450570392E-3</v>
      </c>
    </row>
    <row r="36" spans="2:10" ht="16" x14ac:dyDescent="0.2">
      <c r="B36" s="4" t="s">
        <v>207</v>
      </c>
      <c r="C36" s="20">
        <f t="shared" ref="C36:J36" si="9">IF(C16&gt;0,1-SUM(C29:C35)-C22/C16,0)</f>
        <v>3.3306690738754696E-16</v>
      </c>
      <c r="D36" s="20">
        <f t="shared" si="9"/>
        <v>-1.1102230246251565E-16</v>
      </c>
      <c r="E36" s="20">
        <f t="shared" si="9"/>
        <v>-2.2204460492503131E-16</v>
      </c>
      <c r="F36" s="20">
        <f t="shared" si="9"/>
        <v>-1.1102230246251565E-16</v>
      </c>
      <c r="G36" s="20">
        <f t="shared" si="9"/>
        <v>0</v>
      </c>
      <c r="H36" s="20">
        <f t="shared" si="9"/>
        <v>1.1102230246251565E-16</v>
      </c>
      <c r="I36" s="20">
        <f t="shared" si="9"/>
        <v>-3.3306690738754696E-16</v>
      </c>
      <c r="J36" s="20">
        <f t="shared" si="9"/>
        <v>-3.3306690738754696E-16</v>
      </c>
    </row>
    <row r="37" spans="2:10" ht="16" x14ac:dyDescent="0.2">
      <c r="B37" s="7" t="s">
        <v>208</v>
      </c>
      <c r="C37" s="24">
        <f t="shared" ref="C37:J37" si="10">IF(C16&gt;0,C22/C16,0)</f>
        <v>0.54689644478502764</v>
      </c>
      <c r="D37" s="24">
        <f t="shared" si="10"/>
        <v>0.62249825738734954</v>
      </c>
      <c r="E37" s="24">
        <f t="shared" si="10"/>
        <v>0.61666344709415</v>
      </c>
      <c r="F37" s="24">
        <f t="shared" si="10"/>
        <v>0.66883757930400722</v>
      </c>
      <c r="G37" s="24">
        <f t="shared" si="10"/>
        <v>0.69501358876449659</v>
      </c>
      <c r="H37" s="24">
        <f t="shared" si="10"/>
        <v>0.57096738909086642</v>
      </c>
      <c r="I37" s="24">
        <f t="shared" si="10"/>
        <v>0.81690048844108054</v>
      </c>
      <c r="J37" s="24">
        <f t="shared" si="10"/>
        <v>0.73100219076939199</v>
      </c>
    </row>
    <row r="39" spans="2:10" ht="16" x14ac:dyDescent="0.2">
      <c r="B39" s="7" t="s">
        <v>209</v>
      </c>
    </row>
    <row r="40" spans="2:10" ht="51" x14ac:dyDescent="0.2">
      <c r="B40" s="12" t="s">
        <v>210</v>
      </c>
      <c r="C40" s="15" t="s">
        <v>18</v>
      </c>
      <c r="D40" s="15" t="s">
        <v>20</v>
      </c>
      <c r="E40" s="15" t="s">
        <v>22</v>
      </c>
      <c r="F40" s="15" t="s">
        <v>24</v>
      </c>
      <c r="G40" s="15" t="s">
        <v>26</v>
      </c>
      <c r="H40" s="15" t="s">
        <v>28</v>
      </c>
      <c r="I40" s="15" t="s">
        <v>30</v>
      </c>
      <c r="J40" s="15" t="s">
        <v>32</v>
      </c>
    </row>
    <row r="41" spans="2:10" ht="16" x14ac:dyDescent="0.2">
      <c r="B41" s="4">
        <v>1</v>
      </c>
      <c r="C41" s="21">
        <f>'S1 T1 Distributed default'!D171</f>
        <v>557.5090923625005</v>
      </c>
      <c r="D41" s="21">
        <f>'S1M T1 Distributed measured'!D171</f>
        <v>931.4688942000007</v>
      </c>
      <c r="E41" s="21">
        <f>'S2 T2 Mechanised soil'!D171</f>
        <v>1880.6474401548771</v>
      </c>
      <c r="F41" s="21">
        <f>'S2M T2 Calculated route'!D171</f>
        <v>2050.1017171939843</v>
      </c>
      <c r="G41" s="21">
        <f>'S3 T3 Industrial soil'!D171</f>
        <v>23996.777770365166</v>
      </c>
      <c r="H41" s="21">
        <f>'S4 T1 Field residue F1'!D171</f>
        <v>394.20351921750046</v>
      </c>
      <c r="I41" s="21">
        <f>'S5 T2 Concrete A2'!D171</f>
        <v>2609.0598652500025</v>
      </c>
      <c r="J41" s="21">
        <f>'S6 T3 Biosolids vault A3'!D171</f>
        <v>6839.1771946502267</v>
      </c>
    </row>
    <row r="42" spans="2:10" ht="16" x14ac:dyDescent="0.2">
      <c r="B42" s="4">
        <v>2</v>
      </c>
      <c r="C42" s="21">
        <f>'S1 T1 Distributed default'!E171</f>
        <v>975.64091163437593</v>
      </c>
      <c r="D42" s="21">
        <f>'S1M T1 Distributed measured'!E171</f>
        <v>1630.0705648500016</v>
      </c>
      <c r="E42" s="21">
        <f>'S2 T2 Mechanised soil'!E171</f>
        <v>2797.0510038412535</v>
      </c>
      <c r="F42" s="21">
        <f>'S2M T2 Calculated route'!E171</f>
        <v>3039.1285424685498</v>
      </c>
      <c r="G42" s="21">
        <f>'S3 T3 Industrial soil'!E171</f>
        <v>36304.731875887766</v>
      </c>
      <c r="H42" s="21">
        <f>'S4 T1 Field residue F1'!E171</f>
        <v>689.85376238062588</v>
      </c>
      <c r="I42" s="21">
        <f>'S5 T2 Concrete A2'!E171</f>
        <v>2609.0598652500025</v>
      </c>
      <c r="J42" s="21">
        <f>'S6 T3 Biosolids vault A3'!E171</f>
        <v>6839.1771946502267</v>
      </c>
    </row>
    <row r="43" spans="2:10" ht="16" x14ac:dyDescent="0.2">
      <c r="B43" s="4">
        <v>3</v>
      </c>
      <c r="C43" s="21">
        <f>'S1 T1 Distributed default'!F171</f>
        <v>1393.7727309062511</v>
      </c>
      <c r="D43" s="21">
        <f>'S1M T1 Distributed measured'!F171</f>
        <v>2328.6722355000024</v>
      </c>
      <c r="E43" s="21">
        <f>'S2 T2 Mechanised soil'!F171</f>
        <v>2817.3921288412535</v>
      </c>
      <c r="F43" s="21">
        <f>'S2M T2 Calculated route'!F171</f>
        <v>3059.4696674685501</v>
      </c>
      <c r="G43" s="21">
        <f>'S3 T3 Industrial soil'!F171</f>
        <v>40407.483482447285</v>
      </c>
      <c r="H43" s="21">
        <f>'S4 T1 Field residue F1'!F171</f>
        <v>985.50879804375109</v>
      </c>
      <c r="I43" s="21">
        <f>'S5 T2 Concrete A2'!F171</f>
        <v>2609.0598652500025</v>
      </c>
      <c r="J43" s="21">
        <f>'S6 T3 Biosolids vault A3'!F171</f>
        <v>6839.1771946502267</v>
      </c>
    </row>
    <row r="44" spans="2:10" ht="16" x14ac:dyDescent="0.2">
      <c r="B44" s="4">
        <v>4</v>
      </c>
      <c r="C44" s="21">
        <f>'S1 T1 Distributed default'!G171</f>
        <v>1393.7727309062511</v>
      </c>
      <c r="D44" s="21">
        <f>'S1M T1 Distributed measured'!G171</f>
        <v>2328.6722355000024</v>
      </c>
      <c r="E44" s="21">
        <f>'S2 T2 Mechanised soil'!G171</f>
        <v>2837.7332538412538</v>
      </c>
      <c r="F44" s="21">
        <f>'S2M T2 Calculated route'!G171</f>
        <v>3079.8107924685501</v>
      </c>
      <c r="G44" s="21">
        <f>'S3 T3 Industrial soil'!G171</f>
        <v>40407.483482447285</v>
      </c>
      <c r="H44" s="21">
        <f>'S4 T1 Field residue F1'!G171</f>
        <v>985.50879804375109</v>
      </c>
      <c r="I44" s="21">
        <f>'S5 T2 Concrete A2'!G171</f>
        <v>2609.0598652500025</v>
      </c>
      <c r="J44" s="21">
        <f>'S6 T3 Biosolids vault A3'!G171</f>
        <v>6839.1771946502267</v>
      </c>
    </row>
    <row r="45" spans="2:10" ht="16" x14ac:dyDescent="0.2">
      <c r="B45" s="4">
        <v>5</v>
      </c>
      <c r="C45" s="21">
        <f>'S1 T1 Distributed default'!H171</f>
        <v>1393.7727309062511</v>
      </c>
      <c r="D45" s="21">
        <f>'S1M T1 Distributed measured'!H171</f>
        <v>2328.6722355000024</v>
      </c>
      <c r="E45" s="21">
        <f>'S2 T2 Mechanised soil'!H171</f>
        <v>2837.7332538412538</v>
      </c>
      <c r="F45" s="21">
        <f>'S2M T2 Calculated route'!H171</f>
        <v>3079.8107924685501</v>
      </c>
      <c r="G45" s="21">
        <f>'S3 T3 Industrial soil'!H171</f>
        <v>40407.483482447285</v>
      </c>
      <c r="H45" s="21">
        <f>'S4 T1 Field residue F1'!H171</f>
        <v>985.50879804375109</v>
      </c>
      <c r="I45" s="21">
        <f>'S5 T2 Concrete A2'!H171</f>
        <v>2609.0598652500025</v>
      </c>
      <c r="J45" s="21">
        <f>'S6 T3 Biosolids vault A3'!H171</f>
        <v>6839.1771946502267</v>
      </c>
    </row>
    <row r="46" spans="2:10" ht="16" x14ac:dyDescent="0.2">
      <c r="B46" s="4">
        <v>6</v>
      </c>
      <c r="C46" s="21">
        <f>'S1 T1 Distributed default'!I171</f>
        <v>1416.4039809062513</v>
      </c>
      <c r="D46" s="21">
        <f>'S1M T1 Distributed measured'!I171</f>
        <v>2352.6347355000021</v>
      </c>
      <c r="E46" s="21">
        <f>'S2 T2 Mechanised soil'!I171</f>
        <v>2916.6070038412531</v>
      </c>
      <c r="F46" s="21">
        <f>'S2M T2 Calculated route'!I171</f>
        <v>3158.6845424685494</v>
      </c>
      <c r="G46" s="21">
        <f>'S3 T3 Industrial soil'!I171</f>
        <v>41026.608482447285</v>
      </c>
      <c r="H46" s="21">
        <f>'S4 T1 Field residue F1'!I171</f>
        <v>999.0875480437511</v>
      </c>
      <c r="I46" s="21">
        <f>'S5 T2 Concrete A2'!I171</f>
        <v>2661.7127902500029</v>
      </c>
      <c r="J46" s="21">
        <f>'S6 T3 Biosolids vault A3'!I171</f>
        <v>7705.4271946502267</v>
      </c>
    </row>
    <row r="47" spans="2:10" ht="16" x14ac:dyDescent="0.2">
      <c r="B47" s="4">
        <v>7</v>
      </c>
      <c r="C47" s="21">
        <f>'S1 T1 Distributed default'!J171</f>
        <v>1416.4039809062513</v>
      </c>
      <c r="D47" s="21">
        <f>'S1M T1 Distributed measured'!J171</f>
        <v>2352.6347355000021</v>
      </c>
      <c r="E47" s="21">
        <f>'S2 T2 Mechanised soil'!J171</f>
        <v>2916.6070038412531</v>
      </c>
      <c r="F47" s="21">
        <f>'S2M T2 Calculated route'!J171</f>
        <v>3158.6845424685494</v>
      </c>
      <c r="G47" s="21">
        <f>'S3 T3 Industrial soil'!J171</f>
        <v>41026.608482447285</v>
      </c>
      <c r="H47" s="21">
        <f>'S4 T1 Field residue F1'!J171</f>
        <v>999.0875480437511</v>
      </c>
      <c r="I47" s="21">
        <f>'S5 T2 Concrete A2'!J171</f>
        <v>2661.7127902500029</v>
      </c>
      <c r="J47" s="21">
        <f>'S6 T3 Biosolids vault A3'!J171</f>
        <v>7705.4271946502267</v>
      </c>
    </row>
    <row r="48" spans="2:10" ht="16" x14ac:dyDescent="0.2">
      <c r="B48" s="4">
        <v>8</v>
      </c>
      <c r="C48" s="21">
        <f>'S1 T1 Distributed default'!K171</f>
        <v>1416.4039809062513</v>
      </c>
      <c r="D48" s="21">
        <f>'S1M T1 Distributed measured'!K171</f>
        <v>2352.6347355000021</v>
      </c>
      <c r="E48" s="21">
        <f>'S2 T2 Mechanised soil'!K171</f>
        <v>2916.6070038412531</v>
      </c>
      <c r="F48" s="21">
        <f>'S2M T2 Calculated route'!K171</f>
        <v>3158.6845424685494</v>
      </c>
      <c r="G48" s="21">
        <f>'S3 T3 Industrial soil'!K171</f>
        <v>41026.608482447285</v>
      </c>
      <c r="H48" s="21">
        <f>'S4 T1 Field residue F1'!K171</f>
        <v>999.0875480437511</v>
      </c>
      <c r="I48" s="21">
        <f>'S5 T2 Concrete A2'!K171</f>
        <v>2661.7127902500029</v>
      </c>
      <c r="J48" s="21">
        <f>'S6 T3 Biosolids vault A3'!K171</f>
        <v>7705.4271946502267</v>
      </c>
    </row>
    <row r="49" spans="2:10" ht="16" x14ac:dyDescent="0.2">
      <c r="B49" s="4">
        <v>9</v>
      </c>
      <c r="C49" s="21">
        <f>'S1 T1 Distributed default'!L171</f>
        <v>1416.4039809062513</v>
      </c>
      <c r="D49" s="21">
        <f>'S1M T1 Distributed measured'!L171</f>
        <v>2352.6347355000021</v>
      </c>
      <c r="E49" s="21">
        <f>'S2 T2 Mechanised soil'!L171</f>
        <v>2916.6070038412531</v>
      </c>
      <c r="F49" s="21">
        <f>'S2M T2 Calculated route'!L171</f>
        <v>3158.6845424685494</v>
      </c>
      <c r="G49" s="21">
        <f>'S3 T3 Industrial soil'!L171</f>
        <v>41026.608482447285</v>
      </c>
      <c r="H49" s="21">
        <f>'S4 T1 Field residue F1'!L171</f>
        <v>999.0875480437511</v>
      </c>
      <c r="I49" s="21">
        <f>'S5 T2 Concrete A2'!L171</f>
        <v>2661.7127902500029</v>
      </c>
      <c r="J49" s="21">
        <f>'S6 T3 Biosolids vault A3'!L171</f>
        <v>7705.4271946502267</v>
      </c>
    </row>
    <row r="50" spans="2:10" ht="16" x14ac:dyDescent="0.2">
      <c r="B50" s="4">
        <v>10</v>
      </c>
      <c r="C50" s="21">
        <f>'S1 T1 Distributed default'!M171</f>
        <v>1416.4039809062513</v>
      </c>
      <c r="D50" s="21">
        <f>'S1M T1 Distributed measured'!M171</f>
        <v>2352.6347355000021</v>
      </c>
      <c r="E50" s="21">
        <f>'S2 T2 Mechanised soil'!M171</f>
        <v>2916.6070038412531</v>
      </c>
      <c r="F50" s="21">
        <f>'S2M T2 Calculated route'!M171</f>
        <v>3158.6845424685494</v>
      </c>
      <c r="G50" s="21">
        <f>'S3 T3 Industrial soil'!M171</f>
        <v>41026.608482447285</v>
      </c>
      <c r="H50" s="21">
        <f>'S4 T1 Field residue F1'!M171</f>
        <v>999.0875480437511</v>
      </c>
      <c r="I50" s="21">
        <f>'S5 T2 Concrete A2'!M171</f>
        <v>2661.7127902500029</v>
      </c>
      <c r="J50" s="21">
        <f>'S6 T3 Biosolids vault A3'!M171</f>
        <v>7705.4271946502267</v>
      </c>
    </row>
  </sheetData>
  <sheetProtection password="8666" sheet="1" formatColumns="0" formatRows="0"/>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S172"/>
  <sheetViews>
    <sheetView showGridLines="0" zoomScaleNormal="100" workbookViewId="0">
      <pane xSplit="2" ySplit="4" topLeftCell="C5" activePane="bottomRight" state="frozen"/>
      <selection pane="topRight" activeCell="C1" sqref="C1"/>
      <selection pane="bottomLeft" activeCell="A5" sqref="A5"/>
      <selection pane="bottomRight" activeCell="B1" sqref="B1"/>
    </sheetView>
  </sheetViews>
  <sheetFormatPr baseColWidth="10" defaultColWidth="8.5" defaultRowHeight="15" x14ac:dyDescent="0.2"/>
  <cols>
    <col min="1" max="1" width="3.1640625" customWidth="1"/>
    <col min="2" max="2" width="64" customWidth="1"/>
    <col min="3" max="3" width="22" customWidth="1"/>
    <col min="4" max="14" width="13" customWidth="1"/>
    <col min="18" max="18" width="16" customWidth="1"/>
    <col min="19" max="19" width="40" customWidth="1"/>
  </cols>
  <sheetData>
    <row r="1" spans="2:6" ht="25.5" customHeight="1" x14ac:dyDescent="0.25">
      <c r="B1" s="14" t="s">
        <v>211</v>
      </c>
    </row>
    <row r="2" spans="2:6" ht="16" x14ac:dyDescent="0.2">
      <c r="B2" s="9" t="s">
        <v>212</v>
      </c>
    </row>
    <row r="3" spans="2:6" ht="109.5" customHeight="1" x14ac:dyDescent="0.2">
      <c r="B3" s="80" t="s">
        <v>213</v>
      </c>
      <c r="C3" s="80"/>
      <c r="D3" s="80"/>
      <c r="E3" s="80"/>
      <c r="F3" s="80"/>
    </row>
    <row r="5" spans="2:6" ht="16" x14ac:dyDescent="0.2">
      <c r="B5" s="10" t="s">
        <v>214</v>
      </c>
      <c r="C5" s="11"/>
      <c r="D5" s="11"/>
      <c r="E5" s="11"/>
      <c r="F5" s="11"/>
    </row>
    <row r="6" spans="2:6" ht="16" x14ac:dyDescent="0.2">
      <c r="B6" s="12" t="s">
        <v>215</v>
      </c>
      <c r="C6" s="12" t="s">
        <v>216</v>
      </c>
      <c r="D6" s="12" t="s">
        <v>217</v>
      </c>
      <c r="E6" s="12" t="s">
        <v>218</v>
      </c>
      <c r="F6" s="12" t="s">
        <v>219</v>
      </c>
    </row>
    <row r="7" spans="2:6" ht="16" x14ac:dyDescent="0.2">
      <c r="B7" s="2" t="s">
        <v>220</v>
      </c>
      <c r="C7" s="25"/>
      <c r="D7" s="26">
        <f>$N$171</f>
        <v>12796.488101246883</v>
      </c>
      <c r="E7" s="2" t="s">
        <v>221</v>
      </c>
      <c r="F7" s="27" t="s">
        <v>222</v>
      </c>
    </row>
    <row r="8" spans="2:6" ht="16" x14ac:dyDescent="0.2">
      <c r="B8" s="2" t="s">
        <v>223</v>
      </c>
      <c r="C8" s="25"/>
      <c r="D8" s="22">
        <f>IF($N$136&gt;0,$N$171/$N$136,0)</f>
        <v>1.1029078303164734</v>
      </c>
      <c r="E8" s="2" t="s">
        <v>224</v>
      </c>
      <c r="F8" s="27"/>
    </row>
    <row r="9" spans="2:6" ht="16" x14ac:dyDescent="0.2">
      <c r="B9" s="2" t="s">
        <v>225</v>
      </c>
      <c r="C9" s="25"/>
      <c r="D9" s="26">
        <f>$N$136</f>
        <v>11602.5</v>
      </c>
      <c r="E9" s="2" t="s">
        <v>226</v>
      </c>
      <c r="F9" s="27" t="s">
        <v>124</v>
      </c>
    </row>
    <row r="10" spans="2:6" ht="16" x14ac:dyDescent="0.2">
      <c r="B10" s="2" t="s">
        <v>227</v>
      </c>
      <c r="C10" s="25"/>
      <c r="D10" s="26">
        <f>$N$140</f>
        <v>16425.050892250012</v>
      </c>
      <c r="E10" s="2" t="s">
        <v>221</v>
      </c>
      <c r="F10" s="27" t="s">
        <v>121</v>
      </c>
    </row>
    <row r="11" spans="2:6" ht="16" x14ac:dyDescent="0.2">
      <c r="B11" s="2" t="s">
        <v>228</v>
      </c>
      <c r="C11" s="25"/>
      <c r="D11" s="26">
        <f>$N$151</f>
        <v>1901.9227500000002</v>
      </c>
      <c r="E11" s="2" t="s">
        <v>221</v>
      </c>
      <c r="F11" s="27" t="s">
        <v>134</v>
      </c>
    </row>
    <row r="12" spans="2:6" ht="16" x14ac:dyDescent="0.2">
      <c r="B12" s="2" t="s">
        <v>229</v>
      </c>
      <c r="C12" s="25"/>
      <c r="D12" s="26">
        <f>$N$159</f>
        <v>104.55000000000001</v>
      </c>
      <c r="E12" s="2" t="s">
        <v>221</v>
      </c>
      <c r="F12" s="27" t="s">
        <v>230</v>
      </c>
    </row>
    <row r="13" spans="2:6" ht="16" x14ac:dyDescent="0.2">
      <c r="B13" s="2" t="s">
        <v>231</v>
      </c>
      <c r="C13" s="25"/>
      <c r="D13" s="26">
        <f>$N$168</f>
        <v>1441.8578142250012</v>
      </c>
      <c r="E13" s="2" t="s">
        <v>221</v>
      </c>
      <c r="F13" s="27" t="s">
        <v>232</v>
      </c>
    </row>
    <row r="14" spans="2:6" ht="16" x14ac:dyDescent="0.2">
      <c r="B14" s="2" t="s">
        <v>233</v>
      </c>
      <c r="C14" s="25"/>
      <c r="D14" s="26">
        <f>$N$169</f>
        <v>180.23222677812515</v>
      </c>
      <c r="E14" s="2" t="s">
        <v>221</v>
      </c>
      <c r="F14" s="27" t="s">
        <v>234</v>
      </c>
    </row>
    <row r="15" spans="2:6" ht="16" x14ac:dyDescent="0.2">
      <c r="B15" s="2" t="s">
        <v>235</v>
      </c>
      <c r="C15" s="25"/>
      <c r="D15" s="28">
        <f>$N$167</f>
        <v>0</v>
      </c>
      <c r="E15" s="2" t="s">
        <v>236</v>
      </c>
      <c r="F15" s="27" t="s">
        <v>163</v>
      </c>
    </row>
    <row r="16" spans="2:6" ht="16" x14ac:dyDescent="0.2">
      <c r="B16" s="2" t="s">
        <v>237</v>
      </c>
      <c r="C16" s="25"/>
      <c r="D16" s="28">
        <f>COUNTIF(D165:M165,"&lt;0")</f>
        <v>0</v>
      </c>
      <c r="E16" s="2" t="s">
        <v>236</v>
      </c>
      <c r="F16" s="27" t="s">
        <v>238</v>
      </c>
    </row>
    <row r="17" spans="2:6" ht="16" x14ac:dyDescent="0.2">
      <c r="B17" s="2" t="s">
        <v>239</v>
      </c>
      <c r="C17" s="25"/>
      <c r="D17" s="26">
        <f>$N$172</f>
        <v>0</v>
      </c>
      <c r="E17" s="2" t="s">
        <v>221</v>
      </c>
      <c r="F17" s="27" t="s">
        <v>240</v>
      </c>
    </row>
    <row r="18" spans="2:6" ht="16" x14ac:dyDescent="0.2">
      <c r="B18" s="2" t="s">
        <v>241</v>
      </c>
      <c r="C18" s="25"/>
      <c r="D18" s="29" t="str">
        <f>IF(AND($D$83&lt;&gt;"Not creditable under Method 1 (H:Corg above 0.50)",$D$83&lt;&gt;"Track 1 default-route limit 0.40 exceeded — test the batch",$D$60&lt;&gt;"Below the 70% floor — residue not eligible",$D$93&lt;&gt;"Above the 50 t/ha cap",COUNTIF(D138:M138,"Above ceiling")=0,$D$110="OK"),"OK","Check Parts A to F: "&amp;$D$83&amp;"; "&amp;$D$60&amp;"; "&amp;$D$93&amp;"; mass-balance flags "&amp;COUNTIF(D138:M138,"Above ceiling")&amp;"; "&amp;$D$110)</f>
        <v>OK</v>
      </c>
      <c r="E18" s="2"/>
      <c r="F18" s="27"/>
    </row>
    <row r="19" spans="2:6" ht="16" x14ac:dyDescent="0.2">
      <c r="B19" s="10" t="s">
        <v>242</v>
      </c>
      <c r="C19" s="11"/>
      <c r="D19" s="11"/>
      <c r="E19" s="11"/>
      <c r="F19" s="11"/>
    </row>
    <row r="20" spans="2:6" ht="16" x14ac:dyDescent="0.2">
      <c r="B20" s="12" t="s">
        <v>215</v>
      </c>
      <c r="C20" s="12" t="s">
        <v>216</v>
      </c>
      <c r="D20" s="12" t="s">
        <v>217</v>
      </c>
      <c r="E20" s="12" t="s">
        <v>218</v>
      </c>
      <c r="F20" s="12" t="s">
        <v>219</v>
      </c>
    </row>
    <row r="21" spans="2:6" ht="51" x14ac:dyDescent="0.2">
      <c r="B21" s="6" t="s">
        <v>243</v>
      </c>
      <c r="C21" s="4"/>
      <c r="D21" s="30" t="s">
        <v>244</v>
      </c>
      <c r="E21" s="4"/>
      <c r="F21" s="1" t="s">
        <v>245</v>
      </c>
    </row>
    <row r="22" spans="2:6" ht="17" x14ac:dyDescent="0.2">
      <c r="B22" s="6" t="s">
        <v>179</v>
      </c>
      <c r="C22" s="4"/>
      <c r="D22" s="30" t="s">
        <v>246</v>
      </c>
      <c r="E22" s="4"/>
      <c r="F22" s="1" t="s">
        <v>247</v>
      </c>
    </row>
    <row r="23" spans="2:6" ht="17" x14ac:dyDescent="0.2">
      <c r="B23" s="6" t="s">
        <v>180</v>
      </c>
      <c r="C23" s="4"/>
      <c r="D23" s="30" t="s">
        <v>248</v>
      </c>
      <c r="E23" s="4"/>
      <c r="F23" s="1" t="s">
        <v>249</v>
      </c>
    </row>
    <row r="24" spans="2:6" ht="17" x14ac:dyDescent="0.2">
      <c r="B24" s="6" t="s">
        <v>250</v>
      </c>
      <c r="C24" s="4"/>
      <c r="D24" s="30" t="s">
        <v>251</v>
      </c>
      <c r="E24" s="4"/>
      <c r="F24" s="1" t="s">
        <v>240</v>
      </c>
    </row>
    <row r="25" spans="2:6" ht="30" customHeight="1" x14ac:dyDescent="0.2">
      <c r="B25" s="6" t="s">
        <v>252</v>
      </c>
      <c r="C25" s="4"/>
      <c r="D25" s="30">
        <v>5</v>
      </c>
      <c r="E25" s="4" t="s">
        <v>253</v>
      </c>
      <c r="F25" s="1" t="s">
        <v>254</v>
      </c>
    </row>
    <row r="26" spans="2:6" ht="45" customHeight="1" x14ac:dyDescent="0.2">
      <c r="B26" s="6" t="s">
        <v>255</v>
      </c>
      <c r="C26" s="4" t="s">
        <v>256</v>
      </c>
      <c r="D26" s="30"/>
      <c r="E26" s="4" t="s">
        <v>257</v>
      </c>
      <c r="F26" s="1" t="s">
        <v>258</v>
      </c>
    </row>
    <row r="27" spans="2:6" ht="30" customHeight="1" x14ac:dyDescent="0.2">
      <c r="B27" s="6" t="s">
        <v>259</v>
      </c>
      <c r="C27" s="4" t="s">
        <v>256</v>
      </c>
      <c r="D27" s="4">
        <f>ROUND(MIN(Defaults!$C$16,MAX(Defaults!$C$15,CEILING(IF(ISNUMBER($D$26),$D$26,Defaults!$C$14),1))),0)</f>
        <v>25</v>
      </c>
      <c r="E27" s="4" t="s">
        <v>257</v>
      </c>
      <c r="F27" s="1" t="s">
        <v>260</v>
      </c>
    </row>
    <row r="28" spans="2:6" ht="45" customHeight="1" x14ac:dyDescent="0.2">
      <c r="B28" s="6" t="s">
        <v>261</v>
      </c>
      <c r="C28" s="4" t="s">
        <v>262</v>
      </c>
      <c r="D28" s="31">
        <f>Defaults!$C$47</f>
        <v>1.2500000000000001E-2</v>
      </c>
      <c r="E28" s="4" t="s">
        <v>263</v>
      </c>
      <c r="F28" s="1" t="s">
        <v>264</v>
      </c>
    </row>
    <row r="29" spans="2:6" ht="17" x14ac:dyDescent="0.2">
      <c r="B29" s="6" t="s">
        <v>265</v>
      </c>
      <c r="C29" s="4" t="s">
        <v>266</v>
      </c>
      <c r="D29" s="3">
        <f>Defaults!$C$4</f>
        <v>28</v>
      </c>
      <c r="E29" s="4" t="s">
        <v>267</v>
      </c>
      <c r="F29" s="1" t="s">
        <v>268</v>
      </c>
    </row>
    <row r="30" spans="2:6" ht="45" customHeight="1" x14ac:dyDescent="0.2">
      <c r="B30" s="6" t="s">
        <v>269</v>
      </c>
      <c r="C30" s="4"/>
      <c r="D30" s="30" t="s">
        <v>270</v>
      </c>
      <c r="E30" s="4"/>
      <c r="F30" s="1" t="s">
        <v>271</v>
      </c>
    </row>
    <row r="31" spans="2:6" ht="30" customHeight="1" x14ac:dyDescent="0.2">
      <c r="B31" s="6" t="s">
        <v>272</v>
      </c>
      <c r="C31" s="4" t="s">
        <v>273</v>
      </c>
      <c r="D31" s="32">
        <v>0</v>
      </c>
      <c r="E31" s="4" t="s">
        <v>263</v>
      </c>
      <c r="F31" s="1" t="s">
        <v>274</v>
      </c>
    </row>
    <row r="32" spans="2:6" ht="51" x14ac:dyDescent="0.2">
      <c r="B32" s="6" t="s">
        <v>275</v>
      </c>
      <c r="C32" s="4" t="s">
        <v>276</v>
      </c>
      <c r="D32" s="32">
        <v>0</v>
      </c>
      <c r="E32" s="4" t="s">
        <v>263</v>
      </c>
      <c r="F32" s="1" t="s">
        <v>277</v>
      </c>
    </row>
    <row r="33" spans="2:6" ht="30" customHeight="1" x14ac:dyDescent="0.2">
      <c r="B33" s="6" t="s">
        <v>278</v>
      </c>
      <c r="C33" s="4" t="s">
        <v>279</v>
      </c>
      <c r="D33" s="32">
        <v>0</v>
      </c>
      <c r="E33" s="4" t="s">
        <v>263</v>
      </c>
      <c r="F33" s="1" t="s">
        <v>280</v>
      </c>
    </row>
    <row r="34" spans="2:6" ht="17" x14ac:dyDescent="0.2">
      <c r="B34" s="6" t="s">
        <v>281</v>
      </c>
      <c r="C34" s="4" t="s">
        <v>282</v>
      </c>
      <c r="D34" s="20">
        <f>SQRT($D$31^2+$D$32^2+$D$33^2)</f>
        <v>0</v>
      </c>
      <c r="E34" s="4" t="s">
        <v>263</v>
      </c>
      <c r="F34" s="1" t="s">
        <v>283</v>
      </c>
    </row>
    <row r="35" spans="2:6" ht="30" customHeight="1" x14ac:dyDescent="0.2">
      <c r="B35" s="6" t="s">
        <v>284</v>
      </c>
      <c r="C35" s="4" t="s">
        <v>282</v>
      </c>
      <c r="D35" s="32">
        <v>0</v>
      </c>
      <c r="E35" s="4" t="s">
        <v>263</v>
      </c>
      <c r="F35" s="1" t="s">
        <v>285</v>
      </c>
    </row>
    <row r="36" spans="2:6" ht="51" x14ac:dyDescent="0.2">
      <c r="B36" s="6" t="s">
        <v>286</v>
      </c>
      <c r="C36" s="4" t="s">
        <v>287</v>
      </c>
      <c r="D36" s="20">
        <f>IF($D$21="Track 1",Defaults!$C$7,IF($D$21="Track 2",IF($D$30="Yes",MAX(0,$D$34-Defaults!$C$9),Defaults!$C$8),MAX(0,$D$34-Defaults!$C$9)))</f>
        <v>0.05</v>
      </c>
      <c r="E36" s="4" t="s">
        <v>263</v>
      </c>
      <c r="F36" s="1" t="s">
        <v>288</v>
      </c>
    </row>
    <row r="37" spans="2:6" ht="34" x14ac:dyDescent="0.2">
      <c r="B37" s="6" t="s">
        <v>289</v>
      </c>
      <c r="C37" s="4" t="s">
        <v>290</v>
      </c>
      <c r="D37" s="20">
        <f>IF($D$21="Track 1",Defaults!$C$7,IF($D$21="Track 2",Defaults!$C$8,MAX(0,$D$35-Defaults!$C$10)))</f>
        <v>0.05</v>
      </c>
      <c r="E37" s="4" t="s">
        <v>263</v>
      </c>
      <c r="F37" s="1" t="s">
        <v>291</v>
      </c>
    </row>
    <row r="38" spans="2:6" ht="30" customHeight="1" x14ac:dyDescent="0.2">
      <c r="B38" s="6" t="s">
        <v>292</v>
      </c>
      <c r="C38" s="4" t="s">
        <v>293</v>
      </c>
      <c r="D38" s="33">
        <v>0</v>
      </c>
      <c r="E38" s="4" t="s">
        <v>263</v>
      </c>
      <c r="F38" s="1" t="s">
        <v>294</v>
      </c>
    </row>
    <row r="40" spans="2:6" ht="16" x14ac:dyDescent="0.2">
      <c r="B40" s="10" t="s">
        <v>295</v>
      </c>
      <c r="C40" s="11"/>
      <c r="D40" s="11"/>
      <c r="E40" s="11"/>
      <c r="F40" s="11"/>
    </row>
    <row r="41" spans="2:6" ht="16" x14ac:dyDescent="0.2">
      <c r="B41" s="12" t="s">
        <v>215</v>
      </c>
      <c r="C41" s="12" t="s">
        <v>216</v>
      </c>
      <c r="D41" s="12" t="s">
        <v>217</v>
      </c>
      <c r="E41" s="12" t="s">
        <v>218</v>
      </c>
      <c r="F41" s="12" t="s">
        <v>219</v>
      </c>
    </row>
    <row r="42" spans="2:6" ht="30" customHeight="1" x14ac:dyDescent="0.2">
      <c r="B42" s="6" t="s">
        <v>296</v>
      </c>
      <c r="C42" s="4"/>
      <c r="D42" s="34">
        <f>'Annex 7'!D20</f>
        <v>0</v>
      </c>
      <c r="E42" s="4" t="s">
        <v>263</v>
      </c>
      <c r="F42" s="1" t="s">
        <v>297</v>
      </c>
    </row>
    <row r="43" spans="2:6" ht="30" customHeight="1" x14ac:dyDescent="0.2">
      <c r="B43" s="6" t="s">
        <v>298</v>
      </c>
      <c r="C43" s="4"/>
      <c r="D43" s="34">
        <f>'Annex 7'!D21</f>
        <v>0</v>
      </c>
      <c r="E43" s="4" t="s">
        <v>263</v>
      </c>
      <c r="F43" s="1" t="s">
        <v>299</v>
      </c>
    </row>
    <row r="44" spans="2:6" ht="30" customHeight="1" x14ac:dyDescent="0.2">
      <c r="B44" s="6" t="s">
        <v>300</v>
      </c>
      <c r="C44" s="4" t="s">
        <v>301</v>
      </c>
      <c r="D44" s="34">
        <f>'Annex 7'!D23</f>
        <v>7.4999999999999997E-2</v>
      </c>
      <c r="E44" s="4" t="s">
        <v>263</v>
      </c>
      <c r="F44" s="1" t="s">
        <v>302</v>
      </c>
    </row>
    <row r="45" spans="2:6" ht="45" customHeight="1" x14ac:dyDescent="0.2">
      <c r="B45" s="6" t="s">
        <v>303</v>
      </c>
      <c r="C45" s="4"/>
      <c r="D45" s="30" t="s">
        <v>304</v>
      </c>
      <c r="E45" s="4"/>
      <c r="F45" s="1" t="s">
        <v>305</v>
      </c>
    </row>
    <row r="46" spans="2:6" ht="45" customHeight="1" x14ac:dyDescent="0.2">
      <c r="B46" s="35" t="s">
        <v>187</v>
      </c>
      <c r="C46" s="2" t="s">
        <v>301</v>
      </c>
      <c r="D46" s="24">
        <f>IF(LEFT($D$22,2)="A2",Defaults!$C$28,IF(LEFT($D$22,2)="A3",Defaults!$C$29,IF(OR($D$21="Track 1",AND($D$21="Track 2",LEFT($D$45,12)="Cancellation")),Defaults!$C$27,$D$44)))</f>
        <v>0.1</v>
      </c>
      <c r="E46" s="2" t="s">
        <v>263</v>
      </c>
      <c r="F46" s="36" t="s">
        <v>306</v>
      </c>
    </row>
    <row r="48" spans="2:6" ht="16" x14ac:dyDescent="0.2">
      <c r="B48" s="10" t="s">
        <v>307</v>
      </c>
      <c r="C48" s="11"/>
      <c r="D48" s="11"/>
      <c r="E48" s="11"/>
      <c r="F48" s="11"/>
    </row>
    <row r="49" spans="2:6" ht="16" x14ac:dyDescent="0.2">
      <c r="B49" s="12" t="s">
        <v>215</v>
      </c>
      <c r="C49" s="12" t="s">
        <v>216</v>
      </c>
      <c r="D49" s="12" t="s">
        <v>217</v>
      </c>
      <c r="E49" s="12" t="s">
        <v>218</v>
      </c>
      <c r="F49" s="12" t="s">
        <v>219</v>
      </c>
    </row>
    <row r="50" spans="2:6" ht="17" x14ac:dyDescent="0.2">
      <c r="B50" s="6" t="s">
        <v>308</v>
      </c>
      <c r="C50" s="4"/>
      <c r="D50" s="30" t="s">
        <v>309</v>
      </c>
      <c r="E50" s="4"/>
      <c r="F50" s="1" t="s">
        <v>310</v>
      </c>
    </row>
    <row r="51" spans="2:6" ht="30" customHeight="1" x14ac:dyDescent="0.2">
      <c r="B51" s="6" t="s">
        <v>311</v>
      </c>
      <c r="C51" s="4"/>
      <c r="D51" s="30" t="s">
        <v>312</v>
      </c>
      <c r="E51" s="4"/>
      <c r="F51" s="1" t="s">
        <v>313</v>
      </c>
    </row>
    <row r="52" spans="2:6" ht="34" x14ac:dyDescent="0.2">
      <c r="B52" s="6" t="s">
        <v>314</v>
      </c>
      <c r="C52" s="4" t="s">
        <v>315</v>
      </c>
      <c r="D52" s="37">
        <f>INDEX(Defaults!$D$52:$D$57,MATCH($D$50,Defaults!$B$52:$B$57,0))</f>
        <v>0.15</v>
      </c>
      <c r="E52" s="4" t="s">
        <v>316</v>
      </c>
      <c r="F52" s="1" t="s">
        <v>317</v>
      </c>
    </row>
    <row r="53" spans="2:6" ht="30" customHeight="1" x14ac:dyDescent="0.2">
      <c r="B53" s="6" t="s">
        <v>318</v>
      </c>
      <c r="C53" s="4" t="s">
        <v>319</v>
      </c>
      <c r="D53" s="37">
        <f>INDEX(Defaults!$E$52:$E$57,MATCH($D$50,Defaults!$B$52:$B$57,0))</f>
        <v>0.32</v>
      </c>
      <c r="E53" s="4" t="s">
        <v>320</v>
      </c>
      <c r="F53" s="1" t="s">
        <v>317</v>
      </c>
    </row>
    <row r="54" spans="2:6" ht="51" x14ac:dyDescent="0.2">
      <c r="B54" s="6" t="s">
        <v>321</v>
      </c>
      <c r="C54" s="4"/>
      <c r="D54" s="30" t="s">
        <v>322</v>
      </c>
      <c r="E54" s="4"/>
      <c r="F54" s="1" t="s">
        <v>323</v>
      </c>
    </row>
    <row r="55" spans="2:6" ht="34" x14ac:dyDescent="0.2">
      <c r="B55" s="6" t="s">
        <v>324</v>
      </c>
      <c r="C55" s="4"/>
      <c r="D55" s="30" t="s">
        <v>325</v>
      </c>
      <c r="E55" s="4"/>
      <c r="F55" s="1" t="s">
        <v>326</v>
      </c>
    </row>
    <row r="56" spans="2:6" ht="51" x14ac:dyDescent="0.2">
      <c r="B56" s="6" t="s">
        <v>327</v>
      </c>
      <c r="C56" s="4"/>
      <c r="D56" s="30" t="s">
        <v>328</v>
      </c>
      <c r="E56" s="4"/>
      <c r="F56" s="1" t="s">
        <v>329</v>
      </c>
    </row>
    <row r="57" spans="2:6" ht="30" customHeight="1" x14ac:dyDescent="0.2">
      <c r="B57" s="6" t="s">
        <v>330</v>
      </c>
      <c r="C57" s="4" t="s">
        <v>331</v>
      </c>
      <c r="D57" s="38">
        <v>0</v>
      </c>
      <c r="E57" s="4" t="s">
        <v>332</v>
      </c>
      <c r="F57" s="1" t="s">
        <v>333</v>
      </c>
    </row>
    <row r="58" spans="2:6" ht="45" customHeight="1" x14ac:dyDescent="0.2">
      <c r="B58" s="6" t="s">
        <v>334</v>
      </c>
      <c r="C58" s="4"/>
      <c r="D58" s="30" t="s">
        <v>335</v>
      </c>
      <c r="E58" s="4"/>
      <c r="F58" s="1" t="s">
        <v>336</v>
      </c>
    </row>
    <row r="59" spans="2:6" ht="30" customHeight="1" x14ac:dyDescent="0.2">
      <c r="B59" s="6" t="s">
        <v>337</v>
      </c>
      <c r="C59" s="4"/>
      <c r="D59" s="33">
        <v>0.7</v>
      </c>
      <c r="E59" s="4" t="s">
        <v>263</v>
      </c>
      <c r="F59" s="1" t="s">
        <v>338</v>
      </c>
    </row>
    <row r="60" spans="2:6" ht="34" x14ac:dyDescent="0.2">
      <c r="B60" s="6" t="s">
        <v>339</v>
      </c>
      <c r="C60" s="4"/>
      <c r="D60" s="4" t="str">
        <f>IF(LEFT($D$23,2)="F1",IF($D$59&lt;Defaults!$C$45,"Below the 70% floor — residue not eligible","OK"),"n/a")</f>
        <v>n/a</v>
      </c>
      <c r="E60" s="4"/>
      <c r="F60" s="1" t="s">
        <v>340</v>
      </c>
    </row>
    <row r="61" spans="2:6" ht="68" x14ac:dyDescent="0.2">
      <c r="B61" s="6" t="s">
        <v>341</v>
      </c>
      <c r="C61" s="4"/>
      <c r="D61" s="30" t="s">
        <v>342</v>
      </c>
      <c r="E61" s="4"/>
      <c r="F61" s="1" t="s">
        <v>343</v>
      </c>
    </row>
    <row r="62" spans="2:6" ht="34" x14ac:dyDescent="0.2">
      <c r="B62" s="6" t="s">
        <v>344</v>
      </c>
      <c r="C62" s="4" t="s">
        <v>345</v>
      </c>
      <c r="D62" s="39">
        <v>0</v>
      </c>
      <c r="E62" s="4" t="s">
        <v>346</v>
      </c>
      <c r="F62" s="1" t="s">
        <v>347</v>
      </c>
    </row>
    <row r="63" spans="2:6" ht="34" x14ac:dyDescent="0.2">
      <c r="B63" s="6" t="s">
        <v>348</v>
      </c>
      <c r="C63" s="4" t="s">
        <v>349</v>
      </c>
      <c r="D63" s="40">
        <v>0</v>
      </c>
      <c r="E63" s="4" t="s">
        <v>350</v>
      </c>
      <c r="F63" s="1" t="s">
        <v>347</v>
      </c>
    </row>
    <row r="64" spans="2:6" ht="34" x14ac:dyDescent="0.2">
      <c r="B64" s="6" t="s">
        <v>351</v>
      </c>
      <c r="C64" s="4" t="s">
        <v>352</v>
      </c>
      <c r="D64" s="40">
        <v>0</v>
      </c>
      <c r="E64" s="4" t="s">
        <v>350</v>
      </c>
      <c r="F64" s="1" t="s">
        <v>347</v>
      </c>
    </row>
    <row r="65" spans="2:6" ht="17" x14ac:dyDescent="0.2">
      <c r="B65" s="6" t="s">
        <v>353</v>
      </c>
      <c r="C65" s="4" t="s">
        <v>345</v>
      </c>
      <c r="D65" s="41">
        <f>IF(LEFT($D$61,8)="Measured",$D$62,IF(RIGHT($D$61,6)="stover",Defaults!$C$34,IF(RIGHT($D$61,8)="residues",Defaults!$C$37,Defaults!$C$40)))</f>
        <v>8.0000000000000002E-3</v>
      </c>
      <c r="E65" s="4" t="s">
        <v>346</v>
      </c>
      <c r="F65" s="1" t="s">
        <v>154</v>
      </c>
    </row>
    <row r="66" spans="2:6" ht="17" x14ac:dyDescent="0.2">
      <c r="B66" s="6" t="s">
        <v>354</v>
      </c>
      <c r="C66" s="4" t="s">
        <v>349</v>
      </c>
      <c r="D66" s="42">
        <f>IF(LEFT($D$61,8)="Measured",$D$63,IF(RIGHT($D$61,6)="stover",Defaults!$C$35,IF(RIGHT($D$61,8)="residues",Defaults!$C$38,Defaults!$C$41)))</f>
        <v>3.0000000000000001E-3</v>
      </c>
      <c r="E66" s="4" t="s">
        <v>350</v>
      </c>
      <c r="F66" s="1" t="s">
        <v>154</v>
      </c>
    </row>
    <row r="67" spans="2:6" ht="17" x14ac:dyDescent="0.2">
      <c r="B67" s="6" t="s">
        <v>355</v>
      </c>
      <c r="C67" s="4" t="s">
        <v>352</v>
      </c>
      <c r="D67" s="42">
        <f>IF(LEFT($D$61,8)="Measured",$D$64,IF(RIGHT($D$61,6)="stover",Defaults!$C$36,IF(RIGHT($D$61,8)="residues",Defaults!$C$39,Defaults!$C$42)))</f>
        <v>1.4999999999999999E-2</v>
      </c>
      <c r="E67" s="4" t="s">
        <v>350</v>
      </c>
      <c r="F67" s="1" t="s">
        <v>154</v>
      </c>
    </row>
    <row r="68" spans="2:6" ht="30" customHeight="1" x14ac:dyDescent="0.2">
      <c r="B68" s="6" t="s">
        <v>356</v>
      </c>
      <c r="C68" s="4"/>
      <c r="D68" s="33">
        <v>0</v>
      </c>
      <c r="E68" s="4" t="s">
        <v>263</v>
      </c>
      <c r="F68" s="1" t="s">
        <v>357</v>
      </c>
    </row>
    <row r="69" spans="2:6" ht="45" customHeight="1" x14ac:dyDescent="0.2">
      <c r="B69" s="6" t="s">
        <v>358</v>
      </c>
      <c r="C69" s="4"/>
      <c r="D69" s="30" t="s">
        <v>359</v>
      </c>
      <c r="E69" s="4"/>
      <c r="F69" s="1" t="s">
        <v>360</v>
      </c>
    </row>
    <row r="70" spans="2:6" ht="17" x14ac:dyDescent="0.2">
      <c r="B70" s="6" t="s">
        <v>361</v>
      </c>
      <c r="C70" s="4" t="s">
        <v>362</v>
      </c>
      <c r="D70" s="38">
        <v>0.45</v>
      </c>
      <c r="E70" s="4" t="s">
        <v>363</v>
      </c>
      <c r="F70" s="1" t="s">
        <v>137</v>
      </c>
    </row>
    <row r="72" spans="2:6" ht="16" x14ac:dyDescent="0.2">
      <c r="B72" s="10" t="s">
        <v>364</v>
      </c>
      <c r="C72" s="11"/>
      <c r="D72" s="11"/>
      <c r="E72" s="11"/>
      <c r="F72" s="11"/>
    </row>
    <row r="73" spans="2:6" ht="16" x14ac:dyDescent="0.2">
      <c r="B73" s="12" t="s">
        <v>215</v>
      </c>
      <c r="C73" s="12" t="s">
        <v>216</v>
      </c>
      <c r="D73" s="12" t="s">
        <v>217</v>
      </c>
      <c r="E73" s="12" t="s">
        <v>218</v>
      </c>
      <c r="F73" s="12" t="s">
        <v>219</v>
      </c>
    </row>
    <row r="74" spans="2:6" ht="45" customHeight="1" x14ac:dyDescent="0.2">
      <c r="B74" s="6" t="s">
        <v>365</v>
      </c>
      <c r="C74" s="4"/>
      <c r="D74" s="30" t="s">
        <v>366</v>
      </c>
      <c r="E74" s="4"/>
      <c r="F74" s="1" t="s">
        <v>367</v>
      </c>
    </row>
    <row r="75" spans="2:6" ht="30" customHeight="1" x14ac:dyDescent="0.2">
      <c r="B75" s="6" t="s">
        <v>368</v>
      </c>
      <c r="C75" s="4" t="s">
        <v>369</v>
      </c>
      <c r="D75" s="32">
        <v>0.15</v>
      </c>
      <c r="E75" s="4" t="s">
        <v>263</v>
      </c>
      <c r="F75" s="1" t="s">
        <v>370</v>
      </c>
    </row>
    <row r="76" spans="2:6" ht="17" x14ac:dyDescent="0.2">
      <c r="B76" s="6" t="s">
        <v>371</v>
      </c>
      <c r="C76" s="4" t="s">
        <v>369</v>
      </c>
      <c r="D76" s="20">
        <f>IF($D$74="Measured",$D$75,Defaults!$C$23)</f>
        <v>0.15</v>
      </c>
      <c r="E76" s="4" t="s">
        <v>263</v>
      </c>
      <c r="F76" s="1" t="s">
        <v>124</v>
      </c>
    </row>
    <row r="77" spans="2:6" ht="17" x14ac:dyDescent="0.2">
      <c r="B77" s="6" t="s">
        <v>372</v>
      </c>
      <c r="C77" s="4"/>
      <c r="D77" s="30" t="s">
        <v>373</v>
      </c>
      <c r="E77" s="4"/>
      <c r="F77" s="1" t="s">
        <v>374</v>
      </c>
    </row>
    <row r="78" spans="2:6" ht="30" customHeight="1" x14ac:dyDescent="0.2">
      <c r="B78" s="6" t="s">
        <v>375</v>
      </c>
      <c r="C78" s="4" t="s">
        <v>376</v>
      </c>
      <c r="D78" s="39">
        <v>0</v>
      </c>
      <c r="E78" s="4" t="s">
        <v>363</v>
      </c>
      <c r="F78" s="1" t="s">
        <v>377</v>
      </c>
    </row>
    <row r="79" spans="2:6" ht="34" x14ac:dyDescent="0.2">
      <c r="B79" s="6" t="s">
        <v>378</v>
      </c>
      <c r="C79" s="4" t="s">
        <v>376</v>
      </c>
      <c r="D79" s="37">
        <f>INDEX(Defaults!$C$52:$C$57,MATCH($D$50,Defaults!$B$52:$B$57,0))</f>
        <v>0.55000000000000004</v>
      </c>
      <c r="E79" s="4" t="s">
        <v>363</v>
      </c>
      <c r="F79" s="1" t="s">
        <v>379</v>
      </c>
    </row>
    <row r="80" spans="2:6" ht="17" x14ac:dyDescent="0.2">
      <c r="B80" s="6" t="s">
        <v>181</v>
      </c>
      <c r="C80" s="4" t="s">
        <v>376</v>
      </c>
      <c r="D80" s="16">
        <f>IF($D$77="Default (Table 21)",$D$79,$D$78)</f>
        <v>0.55000000000000004</v>
      </c>
      <c r="E80" s="4" t="s">
        <v>363</v>
      </c>
      <c r="F80" s="1" t="s">
        <v>374</v>
      </c>
    </row>
    <row r="81" spans="2:6" ht="30" customHeight="1" x14ac:dyDescent="0.2">
      <c r="B81" s="6" t="s">
        <v>380</v>
      </c>
      <c r="C81" s="4" t="s">
        <v>381</v>
      </c>
      <c r="D81" s="38"/>
      <c r="E81" s="4" t="s">
        <v>382</v>
      </c>
      <c r="F81" s="1" t="s">
        <v>383</v>
      </c>
    </row>
    <row r="82" spans="2:6" ht="17" x14ac:dyDescent="0.2">
      <c r="B82" s="6" t="s">
        <v>384</v>
      </c>
      <c r="C82" s="4" t="s">
        <v>381</v>
      </c>
      <c r="D82" s="17">
        <f>IF(ISNUMBER($D$81),$D$81,Defaults!$C$17)</f>
        <v>0.4</v>
      </c>
      <c r="E82" s="4" t="s">
        <v>382</v>
      </c>
      <c r="F82" s="1" t="s">
        <v>130</v>
      </c>
    </row>
    <row r="83" spans="2:6" ht="17" x14ac:dyDescent="0.2">
      <c r="B83" s="6" t="s">
        <v>385</v>
      </c>
      <c r="C83" s="4"/>
      <c r="D83" s="4" t="str">
        <f>IF(LEFT($D$84,8)="Method 3","Not applicable (Method 3)",IF($D$82&gt;Defaults!$C$18,"Not creditable under Method 1 (H:Corg above 0.50)",IF(AND($D$21="Track 1",$D$82&gt;Defaults!$C$17),"Track 1 default-route limit 0.40 exceeded — test the batch","Eligible")))</f>
        <v>Eligible</v>
      </c>
      <c r="E83" s="4"/>
      <c r="F83" s="1" t="s">
        <v>240</v>
      </c>
    </row>
    <row r="84" spans="2:6" ht="17" x14ac:dyDescent="0.2">
      <c r="B84" s="6" t="s">
        <v>386</v>
      </c>
      <c r="C84" s="4"/>
      <c r="D84" s="30" t="s">
        <v>387</v>
      </c>
      <c r="E84" s="4"/>
      <c r="F84" s="1" t="s">
        <v>130</v>
      </c>
    </row>
    <row r="85" spans="2:6" ht="17" x14ac:dyDescent="0.2">
      <c r="B85" s="6" t="s">
        <v>388</v>
      </c>
      <c r="C85" s="4"/>
      <c r="D85" s="17">
        <f>ROUND(MIN(0.5,MAX(0.2,CEILING($D$82,0.05))),2)</f>
        <v>0.4</v>
      </c>
      <c r="E85" s="4" t="s">
        <v>382</v>
      </c>
      <c r="F85" s="1" t="s">
        <v>389</v>
      </c>
    </row>
    <row r="86" spans="2:6" ht="30" customHeight="1" x14ac:dyDescent="0.2">
      <c r="B86" s="6" t="s">
        <v>390</v>
      </c>
      <c r="C86" s="4" t="s">
        <v>391</v>
      </c>
      <c r="D86" s="41">
        <f>INDEX(Defaults!$C$121:$I$154,MATCH($D$27,Defaults!$B$121:$B$154,0),MATCH($D$85,Defaults!$C$120:$I$120,0))</f>
        <v>0.754</v>
      </c>
      <c r="E86" s="4" t="s">
        <v>263</v>
      </c>
      <c r="F86" s="1" t="s">
        <v>392</v>
      </c>
    </row>
    <row r="87" spans="2:6" ht="30" customHeight="1" x14ac:dyDescent="0.2">
      <c r="B87" s="6" t="s">
        <v>393</v>
      </c>
      <c r="C87" s="4" t="s">
        <v>391</v>
      </c>
      <c r="D87" s="39">
        <v>0</v>
      </c>
      <c r="E87" s="4" t="s">
        <v>263</v>
      </c>
      <c r="F87" s="1" t="s">
        <v>394</v>
      </c>
    </row>
    <row r="88" spans="2:6" ht="17" x14ac:dyDescent="0.2">
      <c r="B88" s="35" t="s">
        <v>184</v>
      </c>
      <c r="C88" s="2" t="s">
        <v>391</v>
      </c>
      <c r="D88" s="43">
        <f>IF(LEFT($D$84,8)="Method 3",Defaults!$C$12,IF(LEFT($D$84,8)="Method 2",MIN(Defaults!$C$13,$D$87),IF($D$82&gt;Defaults!$C$18,0,$D$86)))</f>
        <v>0.754</v>
      </c>
      <c r="E88" s="2" t="s">
        <v>263</v>
      </c>
      <c r="F88" s="36" t="s">
        <v>130</v>
      </c>
    </row>
    <row r="89" spans="2:6" ht="51" x14ac:dyDescent="0.2">
      <c r="B89" s="6" t="s">
        <v>395</v>
      </c>
      <c r="C89" s="4"/>
      <c r="D89" s="30" t="s">
        <v>396</v>
      </c>
      <c r="E89" s="4"/>
      <c r="F89" s="1" t="s">
        <v>397</v>
      </c>
    </row>
    <row r="90" spans="2:6" ht="30" customHeight="1" x14ac:dyDescent="0.2">
      <c r="B90" s="6" t="s">
        <v>398</v>
      </c>
      <c r="C90" s="4"/>
      <c r="D90" s="30" t="s">
        <v>270</v>
      </c>
      <c r="E90" s="4"/>
      <c r="F90" s="1" t="s">
        <v>399</v>
      </c>
    </row>
    <row r="91" spans="2:6" ht="51" x14ac:dyDescent="0.2">
      <c r="B91" s="6" t="s">
        <v>185</v>
      </c>
      <c r="C91" s="4" t="s">
        <v>400</v>
      </c>
      <c r="D91" s="19">
        <f>IF($D$90="Yes",0,INDEX(Defaults!$C$67:$C$70,MATCH($D$89,Defaults!$B$67:$B$70,0)))</f>
        <v>0.02</v>
      </c>
      <c r="E91" s="4" t="s">
        <v>263</v>
      </c>
      <c r="F91" s="1" t="s">
        <v>397</v>
      </c>
    </row>
    <row r="92" spans="2:6" ht="17" x14ac:dyDescent="0.2">
      <c r="B92" s="6" t="s">
        <v>401</v>
      </c>
      <c r="C92" s="4"/>
      <c r="D92" s="44">
        <v>4</v>
      </c>
      <c r="E92" s="4" t="s">
        <v>402</v>
      </c>
      <c r="F92" s="1" t="s">
        <v>403</v>
      </c>
    </row>
    <row r="93" spans="2:6" ht="17" x14ac:dyDescent="0.2">
      <c r="B93" s="6" t="s">
        <v>404</v>
      </c>
      <c r="C93" s="4"/>
      <c r="D93" s="4" t="str">
        <f>IF(LEFT($D$22,2)="A1",IF($D$92&gt;Defaults!$C$48,"Above the 50 t/ha cap","OK"),"n/a")</f>
        <v>OK</v>
      </c>
      <c r="E93" s="4"/>
      <c r="F93" s="1" t="s">
        <v>403</v>
      </c>
    </row>
    <row r="95" spans="2:6" ht="16" x14ac:dyDescent="0.2">
      <c r="B95" s="10" t="s">
        <v>405</v>
      </c>
      <c r="C95" s="11"/>
      <c r="D95" s="11"/>
      <c r="E95" s="11"/>
      <c r="F95" s="11"/>
    </row>
    <row r="96" spans="2:6" ht="16" x14ac:dyDescent="0.2">
      <c r="B96" s="12" t="s">
        <v>215</v>
      </c>
      <c r="C96" s="12" t="s">
        <v>216</v>
      </c>
      <c r="D96" s="12" t="s">
        <v>217</v>
      </c>
      <c r="E96" s="12" t="s">
        <v>218</v>
      </c>
      <c r="F96" s="12" t="s">
        <v>219</v>
      </c>
    </row>
    <row r="97" spans="2:19" ht="17" x14ac:dyDescent="0.2">
      <c r="B97" s="6" t="s">
        <v>406</v>
      </c>
      <c r="C97" s="4"/>
      <c r="D97" s="30" t="s">
        <v>407</v>
      </c>
      <c r="E97" s="4"/>
      <c r="F97" s="1" t="s">
        <v>142</v>
      </c>
    </row>
    <row r="98" spans="2:19" ht="34" x14ac:dyDescent="0.2">
      <c r="B98" s="6" t="s">
        <v>408</v>
      </c>
      <c r="C98" s="4" t="s">
        <v>409</v>
      </c>
      <c r="D98" s="42">
        <f>INDEX(Defaults!$C$61:$C$63,MATCH($D$54,Defaults!$B$61:$B$63,0))</f>
        <v>5.4999999999999997E-3</v>
      </c>
      <c r="E98" s="4" t="s">
        <v>410</v>
      </c>
      <c r="F98" s="1" t="s">
        <v>411</v>
      </c>
    </row>
    <row r="99" spans="2:19" ht="30" customHeight="1" x14ac:dyDescent="0.2">
      <c r="B99" s="6" t="s">
        <v>412</v>
      </c>
      <c r="C99" s="4" t="s">
        <v>409</v>
      </c>
      <c r="D99" s="40">
        <v>0</v>
      </c>
      <c r="E99" s="4" t="s">
        <v>410</v>
      </c>
      <c r="F99" s="1" t="s">
        <v>413</v>
      </c>
    </row>
    <row r="100" spans="2:19" ht="30" customHeight="1" x14ac:dyDescent="0.2">
      <c r="B100" s="6" t="s">
        <v>414</v>
      </c>
      <c r="C100" s="4" t="s">
        <v>409</v>
      </c>
      <c r="D100" s="45">
        <f>MAX($D$99,IF($D$98&gt;0,$D$98,Defaults!$C$26))</f>
        <v>5.4999999999999997E-3</v>
      </c>
      <c r="E100" s="4" t="s">
        <v>410</v>
      </c>
      <c r="F100" s="1" t="s">
        <v>413</v>
      </c>
    </row>
    <row r="101" spans="2:19" ht="30" customHeight="1" x14ac:dyDescent="0.2">
      <c r="B101" s="6" t="s">
        <v>415</v>
      </c>
      <c r="C101" s="4" t="s">
        <v>416</v>
      </c>
      <c r="D101" s="46">
        <v>2.6800000000000001E-3</v>
      </c>
      <c r="E101" s="4" t="s">
        <v>417</v>
      </c>
      <c r="F101" s="1" t="s">
        <v>418</v>
      </c>
    </row>
    <row r="102" spans="2:19" ht="30" customHeight="1" x14ac:dyDescent="0.2">
      <c r="B102" s="6" t="s">
        <v>419</v>
      </c>
      <c r="C102" s="4" t="s">
        <v>420</v>
      </c>
      <c r="D102" s="39">
        <v>0.7</v>
      </c>
      <c r="E102" s="4" t="s">
        <v>421</v>
      </c>
      <c r="F102" s="1" t="s">
        <v>422</v>
      </c>
    </row>
    <row r="103" spans="2:19" ht="45" customHeight="1" x14ac:dyDescent="0.2">
      <c r="B103" s="6" t="s">
        <v>423</v>
      </c>
      <c r="C103" s="4" t="s">
        <v>424</v>
      </c>
      <c r="D103" s="46">
        <v>1.2E-4</v>
      </c>
      <c r="E103" s="4" t="s">
        <v>425</v>
      </c>
      <c r="F103" s="1" t="s">
        <v>426</v>
      </c>
    </row>
    <row r="104" spans="2:19" ht="45" customHeight="1" x14ac:dyDescent="0.2">
      <c r="B104" s="6" t="s">
        <v>427</v>
      </c>
      <c r="C104" s="4"/>
      <c r="D104" s="30" t="s">
        <v>428</v>
      </c>
      <c r="E104" s="4"/>
      <c r="F104" s="1" t="s">
        <v>429</v>
      </c>
    </row>
    <row r="106" spans="2:19" ht="16" x14ac:dyDescent="0.2">
      <c r="B106" s="10" t="s">
        <v>430</v>
      </c>
      <c r="C106" s="11"/>
      <c r="D106" s="11"/>
      <c r="E106" s="11"/>
      <c r="F106" s="11"/>
    </row>
    <row r="107" spans="2:19" ht="16" x14ac:dyDescent="0.2">
      <c r="B107" s="12" t="s">
        <v>215</v>
      </c>
      <c r="C107" s="12" t="s">
        <v>216</v>
      </c>
      <c r="D107" s="12" t="s">
        <v>217</v>
      </c>
      <c r="E107" s="12" t="s">
        <v>218</v>
      </c>
      <c r="F107" s="12" t="s">
        <v>219</v>
      </c>
    </row>
    <row r="108" spans="2:19" ht="45" customHeight="1" x14ac:dyDescent="0.2">
      <c r="B108" s="6" t="s">
        <v>431</v>
      </c>
      <c r="C108" s="4" t="s">
        <v>432</v>
      </c>
      <c r="D108" s="47">
        <v>0</v>
      </c>
      <c r="E108" s="4" t="s">
        <v>433</v>
      </c>
      <c r="F108" s="1" t="s">
        <v>434</v>
      </c>
    </row>
    <row r="109" spans="2:19" ht="34" x14ac:dyDescent="0.2">
      <c r="B109" s="6" t="s">
        <v>435</v>
      </c>
      <c r="C109" s="4"/>
      <c r="D109" s="4" t="str">
        <f>IF($D$21="Track 3","Option B (inventory)",IF($D$108&gt;0,"Option B (inventory)","Option A (default per tonne)"))</f>
        <v>Option A (default per tonne)</v>
      </c>
      <c r="E109" s="4"/>
      <c r="F109" s="1" t="s">
        <v>436</v>
      </c>
    </row>
    <row r="110" spans="2:19" ht="30" customHeight="1" x14ac:dyDescent="0.2">
      <c r="B110" s="6" t="s">
        <v>437</v>
      </c>
      <c r="C110" s="4"/>
      <c r="D110" s="4" t="str">
        <f>IF((IF(AND($D$21="Track 1",LEFT($D$22,2)&lt;&gt;"A1"),"Modules A2 and A3 are not available under Track 1 (Annex 3, Table 19). ","")&amp;IF(AND($D$21&lt;&gt;"Track 3",OR(LEFT($D$23,2)="F5",LEFT($D$23,2)="F6")),"Modules F5 and F6 are restricted to Track 3 (Annex 1). ","")&amp;IF(AND($D$21&lt;&gt;"Track 1",LEFT($D$84,8)="Method 1",NOT(ISNUMBER($D$26))),"Tracks 2 and 3 enter the gridded-dataset soil temperature (Section 8.5). ","")&amp;IF(AND($D$21="Track 3",$D$77="Default (Table 21)"),"Track 3 measures organic carbon (Section 8.4). ","")&amp;IF(AND($D$21&lt;&gt;"Track 1",LEFT($D$74,7)="Default"),"The biochar moisture default is restricted to Track 1 (PARC 8). ","")&amp;IF(AND($D$21&lt;&gt;"Track 1",LEFT($D$51,5)="Yield"),"The yield default is restricted to Track 1 (PARC 3). ","")&amp;IF(AND(LEFT($D$23,2)="F1",LEFT($D$51,5)="Yield"),"Module F1 residue is weighed at collection (Section 8.3). ","")&amp;IF(AND($D$21="Track 3",LEFT($D$104,5)="Small"),"The small-hub default is available to Tracks 1 and 2 only (Section 9.3). ","")&amp;IF(AND($D$21&lt;&gt;"Track 1",LEFT($D$97,6)="Option"),"Methane Options A and B are Track 1 routes (Section 9.4). ","")&amp;IF(AND($D$21="Track 3",LEFT($D$97,7)="Track 2"),"Track 3 measures methane continuously (Section 9.4). ","")&amp;IF(AND(LEFT($D$97,8)="Option A",LEFT($D$54,5)="Moist"),"Feedstock above 24% moisture is not creditable; dry before charging (Section 9.4). ","")&amp;IF(AND(LEFT($D$22,2)="A1",LEFT($D$84,8)="Method 3"),"Method 3 applies to Modules A2 and A3 only (Section 8.5). ","")&amp;IF(AND(LEFT($D$22,2)&lt;&gt;"A1",LEFT($D$84,8)&lt;&gt;"Method 3"),"Modules A2 and A3 apply Method 3 (Section 8.5). ","")&amp;IF(AND($D$21="Track 1",LEFT($D$84,8)="Method 2"),"Method 2 is available to Tracks 2 and 3 only (Section 8.5). ",""))="","OK",TRIM(IF(AND($D$21="Track 1",LEFT($D$22,2)&lt;&gt;"A1"),"Modules A2 and A3 are not available under Track 1 (Annex 3, Table 19). ","")&amp;IF(AND($D$21&lt;&gt;"Track 3",OR(LEFT($D$23,2)="F5",LEFT($D$23,2)="F6")),"Modules F5 and F6 are restricted to Track 3 (Annex 1). ","")&amp;IF(AND($D$21&lt;&gt;"Track 1",LEFT($D$84,8)="Method 1",NOT(ISNUMBER($D$26))),"Tracks 2 and 3 enter the gridded-dataset soil temperature (Section 8.5). ","")&amp;IF(AND($D$21="Track 3",$D$77="Default (Table 21)"),"Track 3 measures organic carbon (Section 8.4). ","")&amp;IF(AND($D$21&lt;&gt;"Track 1",LEFT($D$74,7)="Default"),"The biochar moisture default is restricted to Track 1 (PARC 8). ","")&amp;IF(AND($D$21&lt;&gt;"Track 1",LEFT($D$51,5)="Yield"),"The yield default is restricted to Track 1 (PARC 3). ","")&amp;IF(AND(LEFT($D$23,2)="F1",LEFT($D$51,5)="Yield"),"Module F1 residue is weighed at collection (Section 8.3). ","")&amp;IF(AND($D$21="Track 3",LEFT($D$104,5)="Small"),"The small-hub default is available to Tracks 1 and 2 only (Section 9.3). ","")&amp;IF(AND($D$21&lt;&gt;"Track 1",LEFT($D$97,6)="Option"),"Methane Options A and B are Track 1 routes (Section 9.4). ","")&amp;IF(AND($D$21="Track 3",LEFT($D$97,7)="Track 2"),"Track 3 measures methane continuously (Section 9.4). ","")&amp;IF(AND(LEFT($D$97,8)="Option A",LEFT($D$54,5)="Moist"),"Feedstock above 24% moisture is not creditable; dry before charging (Section 9.4). ","")&amp;IF(AND(LEFT($D$22,2)="A1",LEFT($D$84,8)="Method 3"),"Method 3 applies to Modules A2 and A3 only (Section 8.5). ","")&amp;IF(AND(LEFT($D$22,2)&lt;&gt;"A1",LEFT($D$84,8)&lt;&gt;"Method 3"),"Modules A2 and A3 apply Method 3 (Section 8.5). ","")&amp;IF(AND($D$21="Track 1",LEFT($D$84,8)="Method 2"),"Method 2 is available to Tracks 2 and 3 only (Section 8.5). ","")))</f>
        <v>OK</v>
      </c>
      <c r="E110" s="4"/>
      <c r="F110" s="1" t="s">
        <v>438</v>
      </c>
    </row>
    <row r="112" spans="2:19" ht="16" x14ac:dyDescent="0.2">
      <c r="B112" s="10" t="s">
        <v>439</v>
      </c>
      <c r="C112" s="11"/>
      <c r="D112" s="11"/>
      <c r="E112" s="11"/>
      <c r="F112" s="11"/>
      <c r="G112" s="11"/>
      <c r="H112" s="11"/>
      <c r="I112" s="11"/>
      <c r="J112" s="11"/>
      <c r="K112" s="11"/>
      <c r="L112" s="11"/>
      <c r="M112" s="11"/>
      <c r="N112" s="11"/>
      <c r="R112" s="11"/>
      <c r="S112" s="11"/>
    </row>
    <row r="113" spans="2:19" ht="16" x14ac:dyDescent="0.2">
      <c r="B113" s="12" t="s">
        <v>440</v>
      </c>
      <c r="C113" s="12" t="s">
        <v>216</v>
      </c>
      <c r="D113" s="48" t="s">
        <v>441</v>
      </c>
      <c r="E113" s="48" t="s">
        <v>442</v>
      </c>
      <c r="F113" s="48" t="s">
        <v>443</v>
      </c>
      <c r="G113" s="48" t="s">
        <v>444</v>
      </c>
      <c r="H113" s="48" t="s">
        <v>445</v>
      </c>
      <c r="I113" s="48" t="s">
        <v>446</v>
      </c>
      <c r="J113" s="48" t="s">
        <v>447</v>
      </c>
      <c r="K113" s="48" t="s">
        <v>448</v>
      </c>
      <c r="L113" s="48" t="s">
        <v>449</v>
      </c>
      <c r="M113" s="48" t="s">
        <v>450</v>
      </c>
      <c r="N113" s="48" t="s">
        <v>451</v>
      </c>
      <c r="R113" s="12" t="s">
        <v>218</v>
      </c>
      <c r="S113" s="12" t="s">
        <v>452</v>
      </c>
    </row>
    <row r="114" spans="2:19" ht="16" x14ac:dyDescent="0.2">
      <c r="B114" s="49" t="s">
        <v>453</v>
      </c>
    </row>
    <row r="115" spans="2:19" ht="17" x14ac:dyDescent="0.2">
      <c r="B115" s="6" t="s">
        <v>454</v>
      </c>
      <c r="C115" s="4"/>
      <c r="D115" s="50">
        <v>1</v>
      </c>
      <c r="E115" s="50">
        <v>1</v>
      </c>
      <c r="F115" s="50">
        <v>1</v>
      </c>
      <c r="G115" s="50">
        <v>1</v>
      </c>
      <c r="H115" s="50">
        <v>1</v>
      </c>
      <c r="I115" s="50">
        <v>1</v>
      </c>
      <c r="J115" s="50">
        <v>1</v>
      </c>
      <c r="K115" s="50">
        <v>1</v>
      </c>
      <c r="L115" s="50">
        <v>1</v>
      </c>
      <c r="M115" s="50">
        <v>1</v>
      </c>
      <c r="N115" s="51">
        <f>SUM(D115:M115)</f>
        <v>10</v>
      </c>
      <c r="R115" s="4"/>
      <c r="S115" s="9"/>
    </row>
    <row r="116" spans="2:19" ht="17" x14ac:dyDescent="0.2">
      <c r="B116" s="6" t="s">
        <v>455</v>
      </c>
      <c r="C116" s="4" t="s">
        <v>456</v>
      </c>
      <c r="D116" s="47">
        <v>600</v>
      </c>
      <c r="E116" s="47">
        <v>1050</v>
      </c>
      <c r="F116" s="47">
        <v>1500</v>
      </c>
      <c r="G116" s="47">
        <v>1500</v>
      </c>
      <c r="H116" s="47">
        <v>1500</v>
      </c>
      <c r="I116" s="47">
        <v>1500</v>
      </c>
      <c r="J116" s="47">
        <v>1500</v>
      </c>
      <c r="K116" s="47">
        <v>1500</v>
      </c>
      <c r="L116" s="47">
        <v>1500</v>
      </c>
      <c r="M116" s="47">
        <v>1500</v>
      </c>
      <c r="N116" s="52">
        <f>SUM(D116:M116)</f>
        <v>13650</v>
      </c>
      <c r="R116" s="4" t="s">
        <v>457</v>
      </c>
      <c r="S116" s="9" t="s">
        <v>458</v>
      </c>
    </row>
    <row r="117" spans="2:19" ht="17" x14ac:dyDescent="0.2">
      <c r="B117" s="6" t="s">
        <v>459</v>
      </c>
      <c r="C117" s="4" t="s">
        <v>460</v>
      </c>
      <c r="D117" s="47">
        <v>0</v>
      </c>
      <c r="E117" s="47">
        <v>0</v>
      </c>
      <c r="F117" s="47">
        <v>0</v>
      </c>
      <c r="G117" s="47">
        <v>0</v>
      </c>
      <c r="H117" s="47">
        <v>0</v>
      </c>
      <c r="I117" s="47">
        <v>0</v>
      </c>
      <c r="J117" s="47">
        <v>0</v>
      </c>
      <c r="K117" s="47">
        <v>0</v>
      </c>
      <c r="L117" s="47">
        <v>0</v>
      </c>
      <c r="M117" s="47">
        <v>0</v>
      </c>
      <c r="N117" s="52">
        <f>SUM(D117:M117)</f>
        <v>0</v>
      </c>
      <c r="R117" s="4" t="s">
        <v>226</v>
      </c>
      <c r="S117" s="9" t="s">
        <v>458</v>
      </c>
    </row>
    <row r="118" spans="2:19" ht="30" customHeight="1" x14ac:dyDescent="0.2">
      <c r="B118" s="6" t="s">
        <v>461</v>
      </c>
      <c r="C118" s="4" t="s">
        <v>462</v>
      </c>
      <c r="D118" s="44">
        <v>0</v>
      </c>
      <c r="E118" s="44">
        <v>0</v>
      </c>
      <c r="F118" s="44">
        <v>0</v>
      </c>
      <c r="G118" s="44">
        <v>0</v>
      </c>
      <c r="H118" s="44">
        <v>0</v>
      </c>
      <c r="I118" s="44">
        <v>0</v>
      </c>
      <c r="J118" s="44">
        <v>0</v>
      </c>
      <c r="K118" s="44">
        <v>0</v>
      </c>
      <c r="L118" s="44">
        <v>0</v>
      </c>
      <c r="M118" s="44">
        <v>0</v>
      </c>
      <c r="R118" s="4" t="s">
        <v>463</v>
      </c>
      <c r="S118" s="9" t="s">
        <v>464</v>
      </c>
    </row>
    <row r="119" spans="2:19" ht="17" x14ac:dyDescent="0.2">
      <c r="B119" s="6" t="s">
        <v>465</v>
      </c>
      <c r="C119" s="4" t="s">
        <v>466</v>
      </c>
      <c r="D119" s="47">
        <v>0</v>
      </c>
      <c r="E119" s="47">
        <v>0</v>
      </c>
      <c r="F119" s="47">
        <v>0</v>
      </c>
      <c r="G119" s="47">
        <v>0</v>
      </c>
      <c r="H119" s="47">
        <v>0</v>
      </c>
      <c r="I119" s="47">
        <v>0</v>
      </c>
      <c r="J119" s="47">
        <v>0</v>
      </c>
      <c r="K119" s="47">
        <v>0</v>
      </c>
      <c r="L119" s="47">
        <v>0</v>
      </c>
      <c r="M119" s="47">
        <v>0</v>
      </c>
      <c r="N119" s="52">
        <f t="shared" ref="N119:N130" si="0">SUM(D119:M119)</f>
        <v>0</v>
      </c>
      <c r="R119" s="4" t="s">
        <v>221</v>
      </c>
      <c r="S119" s="9" t="s">
        <v>137</v>
      </c>
    </row>
    <row r="120" spans="2:19" ht="30" customHeight="1" x14ac:dyDescent="0.2">
      <c r="B120" s="6" t="s">
        <v>467</v>
      </c>
      <c r="C120" s="4" t="s">
        <v>468</v>
      </c>
      <c r="D120" s="53">
        <v>0</v>
      </c>
      <c r="E120" s="53">
        <v>0</v>
      </c>
      <c r="F120" s="53">
        <v>0</v>
      </c>
      <c r="G120" s="53">
        <v>0</v>
      </c>
      <c r="H120" s="53">
        <v>0</v>
      </c>
      <c r="I120" s="53">
        <v>0</v>
      </c>
      <c r="J120" s="53">
        <v>0</v>
      </c>
      <c r="K120" s="53">
        <v>0</v>
      </c>
      <c r="L120" s="53">
        <v>0</v>
      </c>
      <c r="M120" s="53">
        <v>0</v>
      </c>
      <c r="N120" s="54">
        <f t="shared" si="0"/>
        <v>0</v>
      </c>
      <c r="R120" s="4" t="s">
        <v>226</v>
      </c>
      <c r="S120" s="9" t="s">
        <v>469</v>
      </c>
    </row>
    <row r="121" spans="2:19" ht="17" x14ac:dyDescent="0.2">
      <c r="B121" s="6" t="s">
        <v>470</v>
      </c>
      <c r="C121" s="4" t="s">
        <v>471</v>
      </c>
      <c r="D121" s="38">
        <v>0</v>
      </c>
      <c r="E121" s="38">
        <v>0</v>
      </c>
      <c r="F121" s="38">
        <v>0</v>
      </c>
      <c r="G121" s="38">
        <v>0</v>
      </c>
      <c r="H121" s="38">
        <v>0</v>
      </c>
      <c r="I121" s="38">
        <v>0</v>
      </c>
      <c r="J121" s="38">
        <v>0</v>
      </c>
      <c r="K121" s="38">
        <v>0</v>
      </c>
      <c r="L121" s="38">
        <v>0</v>
      </c>
      <c r="M121" s="38">
        <v>0</v>
      </c>
      <c r="N121" s="55">
        <f t="shared" si="0"/>
        <v>0</v>
      </c>
      <c r="R121" s="4" t="s">
        <v>472</v>
      </c>
      <c r="S121" s="9" t="s">
        <v>473</v>
      </c>
    </row>
    <row r="122" spans="2:19" ht="17" x14ac:dyDescent="0.2">
      <c r="B122" s="6" t="s">
        <v>474</v>
      </c>
      <c r="C122" s="4" t="s">
        <v>475</v>
      </c>
      <c r="D122" s="47">
        <v>0</v>
      </c>
      <c r="E122" s="47">
        <v>0</v>
      </c>
      <c r="F122" s="47">
        <v>0</v>
      </c>
      <c r="G122" s="47">
        <v>0</v>
      </c>
      <c r="H122" s="47">
        <v>0</v>
      </c>
      <c r="I122" s="47">
        <v>0</v>
      </c>
      <c r="J122" s="47">
        <v>0</v>
      </c>
      <c r="K122" s="47">
        <v>0</v>
      </c>
      <c r="L122" s="47">
        <v>0</v>
      </c>
      <c r="M122" s="47">
        <v>0</v>
      </c>
      <c r="N122" s="52">
        <f t="shared" si="0"/>
        <v>0</v>
      </c>
      <c r="R122" s="4" t="s">
        <v>476</v>
      </c>
      <c r="S122" s="9" t="s">
        <v>477</v>
      </c>
    </row>
    <row r="123" spans="2:19" ht="17" x14ac:dyDescent="0.2">
      <c r="B123" s="6" t="s">
        <v>478</v>
      </c>
      <c r="C123" s="4" t="s">
        <v>479</v>
      </c>
      <c r="D123" s="53">
        <v>0</v>
      </c>
      <c r="E123" s="53">
        <v>0</v>
      </c>
      <c r="F123" s="53">
        <v>0</v>
      </c>
      <c r="G123" s="53">
        <v>0</v>
      </c>
      <c r="H123" s="53">
        <v>0</v>
      </c>
      <c r="I123" s="53">
        <v>0</v>
      </c>
      <c r="J123" s="53">
        <v>0</v>
      </c>
      <c r="K123" s="53">
        <v>0</v>
      </c>
      <c r="L123" s="53">
        <v>0</v>
      </c>
      <c r="M123" s="53">
        <v>0</v>
      </c>
      <c r="N123" s="54">
        <f t="shared" si="0"/>
        <v>0</v>
      </c>
      <c r="R123" s="4" t="s">
        <v>480</v>
      </c>
      <c r="S123" s="9" t="s">
        <v>477</v>
      </c>
    </row>
    <row r="124" spans="2:19" ht="17" x14ac:dyDescent="0.2">
      <c r="B124" s="6" t="s">
        <v>481</v>
      </c>
      <c r="C124" s="4" t="s">
        <v>482</v>
      </c>
      <c r="D124" s="47">
        <v>0</v>
      </c>
      <c r="E124" s="47">
        <v>0</v>
      </c>
      <c r="F124" s="47">
        <v>0</v>
      </c>
      <c r="G124" s="47">
        <v>0</v>
      </c>
      <c r="H124" s="47">
        <v>0</v>
      </c>
      <c r="I124" s="47">
        <v>0</v>
      </c>
      <c r="J124" s="47">
        <v>0</v>
      </c>
      <c r="K124" s="47">
        <v>0</v>
      </c>
      <c r="L124" s="47">
        <v>0</v>
      </c>
      <c r="M124" s="47">
        <v>0</v>
      </c>
      <c r="N124" s="52">
        <f t="shared" si="0"/>
        <v>0</v>
      </c>
      <c r="R124" s="4" t="s">
        <v>221</v>
      </c>
      <c r="S124" s="9" t="s">
        <v>483</v>
      </c>
    </row>
    <row r="125" spans="2:19" ht="17" x14ac:dyDescent="0.2">
      <c r="B125" s="6" t="s">
        <v>484</v>
      </c>
      <c r="C125" s="4" t="s">
        <v>485</v>
      </c>
      <c r="D125" s="47">
        <v>0</v>
      </c>
      <c r="E125" s="47">
        <v>0</v>
      </c>
      <c r="F125" s="47">
        <v>0</v>
      </c>
      <c r="G125" s="47">
        <v>0</v>
      </c>
      <c r="H125" s="47">
        <v>0</v>
      </c>
      <c r="I125" s="47">
        <v>0</v>
      </c>
      <c r="J125" s="47">
        <v>0</v>
      </c>
      <c r="K125" s="47">
        <v>0</v>
      </c>
      <c r="L125" s="47">
        <v>0</v>
      </c>
      <c r="M125" s="47">
        <v>0</v>
      </c>
      <c r="N125" s="52">
        <f t="shared" si="0"/>
        <v>0</v>
      </c>
      <c r="R125" s="4" t="s">
        <v>476</v>
      </c>
      <c r="S125" s="9" t="s">
        <v>486</v>
      </c>
    </row>
    <row r="126" spans="2:19" ht="17" x14ac:dyDescent="0.2">
      <c r="B126" s="6" t="s">
        <v>487</v>
      </c>
      <c r="C126" s="4" t="s">
        <v>488</v>
      </c>
      <c r="D126" s="53">
        <v>0</v>
      </c>
      <c r="E126" s="53">
        <v>0</v>
      </c>
      <c r="F126" s="53">
        <v>0</v>
      </c>
      <c r="G126" s="53">
        <v>0</v>
      </c>
      <c r="H126" s="53">
        <v>0</v>
      </c>
      <c r="I126" s="53">
        <v>0</v>
      </c>
      <c r="J126" s="53">
        <v>0</v>
      </c>
      <c r="K126" s="53">
        <v>0</v>
      </c>
      <c r="L126" s="53">
        <v>0</v>
      </c>
      <c r="M126" s="53">
        <v>0</v>
      </c>
      <c r="N126" s="54">
        <f t="shared" si="0"/>
        <v>0</v>
      </c>
      <c r="R126" s="4" t="s">
        <v>480</v>
      </c>
      <c r="S126" s="9" t="s">
        <v>486</v>
      </c>
    </row>
    <row r="127" spans="2:19" ht="17" x14ac:dyDescent="0.2">
      <c r="B127" s="6" t="s">
        <v>489</v>
      </c>
      <c r="C127" s="4" t="s">
        <v>490</v>
      </c>
      <c r="D127" s="47">
        <v>9000</v>
      </c>
      <c r="E127" s="47">
        <v>15750</v>
      </c>
      <c r="F127" s="47">
        <v>22500</v>
      </c>
      <c r="G127" s="47">
        <v>22500</v>
      </c>
      <c r="H127" s="47">
        <v>22500</v>
      </c>
      <c r="I127" s="47">
        <v>22500</v>
      </c>
      <c r="J127" s="47">
        <v>22500</v>
      </c>
      <c r="K127" s="47">
        <v>22500</v>
      </c>
      <c r="L127" s="47">
        <v>22500</v>
      </c>
      <c r="M127" s="47">
        <v>22500</v>
      </c>
      <c r="N127" s="52">
        <f t="shared" si="0"/>
        <v>204750</v>
      </c>
      <c r="R127" s="4" t="s">
        <v>491</v>
      </c>
      <c r="S127" s="9" t="s">
        <v>492</v>
      </c>
    </row>
    <row r="128" spans="2:19" ht="17" x14ac:dyDescent="0.2">
      <c r="B128" s="6" t="s">
        <v>493</v>
      </c>
      <c r="C128" s="4" t="s">
        <v>494</v>
      </c>
      <c r="D128" s="47">
        <v>0</v>
      </c>
      <c r="E128" s="47">
        <v>0</v>
      </c>
      <c r="F128" s="47">
        <v>0</v>
      </c>
      <c r="G128" s="47">
        <v>0</v>
      </c>
      <c r="H128" s="47">
        <v>0</v>
      </c>
      <c r="I128" s="47">
        <v>0</v>
      </c>
      <c r="J128" s="47">
        <v>0</v>
      </c>
      <c r="K128" s="47">
        <v>0</v>
      </c>
      <c r="L128" s="47">
        <v>0</v>
      </c>
      <c r="M128" s="47">
        <v>0</v>
      </c>
      <c r="N128" s="52">
        <f t="shared" si="0"/>
        <v>0</v>
      </c>
      <c r="R128" s="4" t="s">
        <v>476</v>
      </c>
      <c r="S128" s="9" t="s">
        <v>495</v>
      </c>
    </row>
    <row r="129" spans="2:19" ht="30" customHeight="1" x14ac:dyDescent="0.2">
      <c r="B129" s="6" t="s">
        <v>496</v>
      </c>
      <c r="C129" s="4" t="s">
        <v>497</v>
      </c>
      <c r="D129" s="47">
        <v>0</v>
      </c>
      <c r="E129" s="47">
        <v>0</v>
      </c>
      <c r="F129" s="47">
        <v>0</v>
      </c>
      <c r="G129" s="47">
        <v>0</v>
      </c>
      <c r="H129" s="47">
        <v>0</v>
      </c>
      <c r="I129" s="47">
        <v>0</v>
      </c>
      <c r="J129" s="47">
        <v>0</v>
      </c>
      <c r="K129" s="47">
        <v>0</v>
      </c>
      <c r="L129" s="47">
        <v>0</v>
      </c>
      <c r="M129" s="47">
        <v>0</v>
      </c>
      <c r="N129" s="52">
        <f t="shared" si="0"/>
        <v>0</v>
      </c>
      <c r="R129" s="4" t="s">
        <v>221</v>
      </c>
      <c r="S129" s="9" t="s">
        <v>498</v>
      </c>
    </row>
    <row r="130" spans="2:19" ht="30" customHeight="1" x14ac:dyDescent="0.2">
      <c r="B130" s="6" t="s">
        <v>499</v>
      </c>
      <c r="C130" s="4" t="s">
        <v>500</v>
      </c>
      <c r="D130" s="47">
        <v>0</v>
      </c>
      <c r="E130" s="47">
        <v>0</v>
      </c>
      <c r="F130" s="47">
        <v>0</v>
      </c>
      <c r="G130" s="47">
        <v>0</v>
      </c>
      <c r="H130" s="47">
        <v>0</v>
      </c>
      <c r="I130" s="47">
        <v>0</v>
      </c>
      <c r="J130" s="47">
        <v>0</v>
      </c>
      <c r="K130" s="47">
        <v>0</v>
      </c>
      <c r="L130" s="47">
        <v>0</v>
      </c>
      <c r="M130" s="47">
        <v>0</v>
      </c>
      <c r="N130" s="52">
        <f t="shared" si="0"/>
        <v>0</v>
      </c>
      <c r="R130" s="4" t="s">
        <v>226</v>
      </c>
      <c r="S130" s="9" t="s">
        <v>501</v>
      </c>
    </row>
    <row r="131" spans="2:19" ht="17" x14ac:dyDescent="0.2">
      <c r="B131" s="6" t="s">
        <v>502</v>
      </c>
      <c r="C131" s="4" t="s">
        <v>369</v>
      </c>
      <c r="D131" s="32"/>
      <c r="E131" s="32"/>
      <c r="F131" s="32"/>
      <c r="G131" s="32"/>
      <c r="H131" s="32"/>
      <c r="I131" s="32"/>
      <c r="J131" s="32"/>
      <c r="K131" s="32"/>
      <c r="L131" s="32"/>
      <c r="M131" s="32"/>
      <c r="R131" s="4" t="s">
        <v>263</v>
      </c>
      <c r="S131" s="9" t="s">
        <v>124</v>
      </c>
    </row>
    <row r="132" spans="2:19" ht="17" x14ac:dyDescent="0.2">
      <c r="B132" s="6" t="s">
        <v>503</v>
      </c>
      <c r="C132" s="4" t="s">
        <v>262</v>
      </c>
      <c r="D132" s="56">
        <f t="shared" ref="D132:M132" si="1">$D$28</f>
        <v>1.2500000000000001E-2</v>
      </c>
      <c r="E132" s="56">
        <f t="shared" si="1"/>
        <v>1.2500000000000001E-2</v>
      </c>
      <c r="F132" s="56">
        <f t="shared" si="1"/>
        <v>1.2500000000000001E-2</v>
      </c>
      <c r="G132" s="56">
        <f t="shared" si="1"/>
        <v>1.2500000000000001E-2</v>
      </c>
      <c r="H132" s="56">
        <f t="shared" si="1"/>
        <v>1.2500000000000001E-2</v>
      </c>
      <c r="I132" s="56">
        <f t="shared" si="1"/>
        <v>1.2500000000000001E-2</v>
      </c>
      <c r="J132" s="56">
        <f t="shared" si="1"/>
        <v>1.2500000000000001E-2</v>
      </c>
      <c r="K132" s="56">
        <f t="shared" si="1"/>
        <v>1.2500000000000001E-2</v>
      </c>
      <c r="L132" s="56">
        <f t="shared" si="1"/>
        <v>1.2500000000000001E-2</v>
      </c>
      <c r="M132" s="56">
        <f t="shared" si="1"/>
        <v>1.2500000000000001E-2</v>
      </c>
      <c r="R132" s="4" t="s">
        <v>263</v>
      </c>
      <c r="S132" s="9" t="s">
        <v>234</v>
      </c>
    </row>
    <row r="134" spans="2:19" ht="16" x14ac:dyDescent="0.2">
      <c r="B134" s="49" t="s">
        <v>504</v>
      </c>
    </row>
    <row r="135" spans="2:19" ht="17" x14ac:dyDescent="0.2">
      <c r="B135" s="6" t="s">
        <v>505</v>
      </c>
      <c r="C135" s="4" t="s">
        <v>369</v>
      </c>
      <c r="D135" s="20">
        <f t="shared" ref="D135:M135" si="2">IF(ISNUMBER(D$131),D$131,$D$76)</f>
        <v>0.15</v>
      </c>
      <c r="E135" s="20">
        <f t="shared" si="2"/>
        <v>0.15</v>
      </c>
      <c r="F135" s="20">
        <f t="shared" si="2"/>
        <v>0.15</v>
      </c>
      <c r="G135" s="20">
        <f t="shared" si="2"/>
        <v>0.15</v>
      </c>
      <c r="H135" s="20">
        <f t="shared" si="2"/>
        <v>0.15</v>
      </c>
      <c r="I135" s="20">
        <f t="shared" si="2"/>
        <v>0.15</v>
      </c>
      <c r="J135" s="20">
        <f t="shared" si="2"/>
        <v>0.15</v>
      </c>
      <c r="K135" s="20">
        <f t="shared" si="2"/>
        <v>0.15</v>
      </c>
      <c r="L135" s="20">
        <f t="shared" si="2"/>
        <v>0.15</v>
      </c>
      <c r="M135" s="20">
        <f t="shared" si="2"/>
        <v>0.15</v>
      </c>
      <c r="R135" s="4" t="s">
        <v>263</v>
      </c>
      <c r="S135" s="9" t="s">
        <v>124</v>
      </c>
    </row>
    <row r="136" spans="2:19" ht="17" x14ac:dyDescent="0.2">
      <c r="B136" s="6" t="s">
        <v>506</v>
      </c>
      <c r="C136" s="4" t="s">
        <v>507</v>
      </c>
      <c r="D136" s="21">
        <f t="shared" ref="D136:M136" si="3">D$115*D$116*(1-D$135)</f>
        <v>510</v>
      </c>
      <c r="E136" s="21">
        <f t="shared" si="3"/>
        <v>892.5</v>
      </c>
      <c r="F136" s="21">
        <f t="shared" si="3"/>
        <v>1275</v>
      </c>
      <c r="G136" s="21">
        <f t="shared" si="3"/>
        <v>1275</v>
      </c>
      <c r="H136" s="21">
        <f t="shared" si="3"/>
        <v>1275</v>
      </c>
      <c r="I136" s="21">
        <f t="shared" si="3"/>
        <v>1275</v>
      </c>
      <c r="J136" s="21">
        <f t="shared" si="3"/>
        <v>1275</v>
      </c>
      <c r="K136" s="21">
        <f t="shared" si="3"/>
        <v>1275</v>
      </c>
      <c r="L136" s="21">
        <f t="shared" si="3"/>
        <v>1275</v>
      </c>
      <c r="M136" s="21">
        <f t="shared" si="3"/>
        <v>1275</v>
      </c>
      <c r="N136" s="52">
        <f>SUM(D136:M136)</f>
        <v>11602.5</v>
      </c>
      <c r="R136" s="4" t="s">
        <v>226</v>
      </c>
      <c r="S136" s="9" t="s">
        <v>124</v>
      </c>
    </row>
    <row r="137" spans="2:19" ht="17" x14ac:dyDescent="0.2">
      <c r="B137" s="6" t="s">
        <v>508</v>
      </c>
      <c r="C137" s="4" t="s">
        <v>460</v>
      </c>
      <c r="D137" s="21">
        <f t="shared" ref="D137:M137" si="4">IF($D$51="Weighed",D$117,IF($D$52&gt;0,D$136/$D$52,0))</f>
        <v>3400</v>
      </c>
      <c r="E137" s="21">
        <f t="shared" si="4"/>
        <v>5950</v>
      </c>
      <c r="F137" s="21">
        <f t="shared" si="4"/>
        <v>8500</v>
      </c>
      <c r="G137" s="21">
        <f t="shared" si="4"/>
        <v>8500</v>
      </c>
      <c r="H137" s="21">
        <f t="shared" si="4"/>
        <v>8500</v>
      </c>
      <c r="I137" s="21">
        <f t="shared" si="4"/>
        <v>8500</v>
      </c>
      <c r="J137" s="21">
        <f t="shared" si="4"/>
        <v>8500</v>
      </c>
      <c r="K137" s="21">
        <f t="shared" si="4"/>
        <v>8500</v>
      </c>
      <c r="L137" s="21">
        <f t="shared" si="4"/>
        <v>8500</v>
      </c>
      <c r="M137" s="21">
        <f t="shared" si="4"/>
        <v>8500</v>
      </c>
      <c r="N137" s="52">
        <f>SUM(D137:M137)</f>
        <v>77350</v>
      </c>
      <c r="R137" s="4" t="s">
        <v>226</v>
      </c>
      <c r="S137" s="9" t="s">
        <v>509</v>
      </c>
    </row>
    <row r="138" spans="2:19" ht="17" x14ac:dyDescent="0.2">
      <c r="B138" s="6" t="s">
        <v>510</v>
      </c>
      <c r="C138" s="4"/>
      <c r="D138" s="4" t="str">
        <f t="shared" ref="D138:M138" si="5">IF($D$53&lt;=0,"n/a",IF(D$137&gt;0,IF(D$136/D$137&gt;$D$53,"Above ceiling","OK"),"n/a"))</f>
        <v>OK</v>
      </c>
      <c r="E138" s="4" t="str">
        <f t="shared" si="5"/>
        <v>OK</v>
      </c>
      <c r="F138" s="4" t="str">
        <f t="shared" si="5"/>
        <v>OK</v>
      </c>
      <c r="G138" s="4" t="str">
        <f t="shared" si="5"/>
        <v>OK</v>
      </c>
      <c r="H138" s="4" t="str">
        <f t="shared" si="5"/>
        <v>OK</v>
      </c>
      <c r="I138" s="4" t="str">
        <f t="shared" si="5"/>
        <v>OK</v>
      </c>
      <c r="J138" s="4" t="str">
        <f t="shared" si="5"/>
        <v>OK</v>
      </c>
      <c r="K138" s="4" t="str">
        <f t="shared" si="5"/>
        <v>OK</v>
      </c>
      <c r="L138" s="4" t="str">
        <f t="shared" si="5"/>
        <v>OK</v>
      </c>
      <c r="M138" s="4" t="str">
        <f t="shared" si="5"/>
        <v>OK</v>
      </c>
      <c r="R138" s="4"/>
      <c r="S138" s="9" t="s">
        <v>511</v>
      </c>
    </row>
    <row r="139" spans="2:19" ht="30" customHeight="1" x14ac:dyDescent="0.2">
      <c r="B139" s="6" t="s">
        <v>512</v>
      </c>
      <c r="C139" s="4" t="s">
        <v>513</v>
      </c>
      <c r="D139" s="21">
        <f>D$136*$D$80*Defaults!$C$5</f>
        <v>1028.5000000000009</v>
      </c>
      <c r="E139" s="21">
        <f>E$136*$D$80*Defaults!$C$5</f>
        <v>1799.8750000000018</v>
      </c>
      <c r="F139" s="21">
        <f>F$136*$D$80*Defaults!$C$5</f>
        <v>2571.2500000000023</v>
      </c>
      <c r="G139" s="21">
        <f>G$136*$D$80*Defaults!$C$5</f>
        <v>2571.2500000000023</v>
      </c>
      <c r="H139" s="21">
        <f>H$136*$D$80*Defaults!$C$5</f>
        <v>2571.2500000000023</v>
      </c>
      <c r="I139" s="21">
        <f>I$136*$D$80*Defaults!$C$5</f>
        <v>2571.2500000000023</v>
      </c>
      <c r="J139" s="21">
        <f>J$136*$D$80*Defaults!$C$5</f>
        <v>2571.2500000000023</v>
      </c>
      <c r="K139" s="21">
        <f>K$136*$D$80*Defaults!$C$5</f>
        <v>2571.2500000000023</v>
      </c>
      <c r="L139" s="21">
        <f>L$136*$D$80*Defaults!$C$5</f>
        <v>2571.2500000000023</v>
      </c>
      <c r="M139" s="21">
        <f>M$136*$D$80*Defaults!$C$5</f>
        <v>2571.2500000000023</v>
      </c>
      <c r="N139" s="52">
        <f>SUM(D139:M139)</f>
        <v>23398.375000000022</v>
      </c>
      <c r="R139" s="4" t="s">
        <v>221</v>
      </c>
      <c r="S139" s="9" t="s">
        <v>514</v>
      </c>
    </row>
    <row r="140" spans="2:19" ht="17" x14ac:dyDescent="0.2">
      <c r="B140" s="35" t="s">
        <v>227</v>
      </c>
      <c r="C140" s="2" t="s">
        <v>515</v>
      </c>
      <c r="D140" s="26">
        <f t="shared" ref="D140:M140" si="6">D$139*$D$88*(1-$D$91)*(1-$D$36)</f>
        <v>721.98025900000061</v>
      </c>
      <c r="E140" s="26">
        <f t="shared" si="6"/>
        <v>1263.465453250001</v>
      </c>
      <c r="F140" s="26">
        <f t="shared" si="6"/>
        <v>1804.9506475000014</v>
      </c>
      <c r="G140" s="26">
        <f t="shared" si="6"/>
        <v>1804.9506475000014</v>
      </c>
      <c r="H140" s="26">
        <f t="shared" si="6"/>
        <v>1804.9506475000014</v>
      </c>
      <c r="I140" s="26">
        <f t="shared" si="6"/>
        <v>1804.9506475000014</v>
      </c>
      <c r="J140" s="26">
        <f t="shared" si="6"/>
        <v>1804.9506475000014</v>
      </c>
      <c r="K140" s="26">
        <f t="shared" si="6"/>
        <v>1804.9506475000014</v>
      </c>
      <c r="L140" s="26">
        <f t="shared" si="6"/>
        <v>1804.9506475000014</v>
      </c>
      <c r="M140" s="26">
        <f t="shared" si="6"/>
        <v>1804.9506475000014</v>
      </c>
      <c r="N140" s="26">
        <f>SUM(D140:M140)</f>
        <v>16425.050892250012</v>
      </c>
      <c r="R140" s="2" t="s">
        <v>221</v>
      </c>
      <c r="S140" s="27" t="s">
        <v>516</v>
      </c>
    </row>
    <row r="142" spans="2:19" ht="16" x14ac:dyDescent="0.2">
      <c r="B142" s="49" t="s">
        <v>203</v>
      </c>
    </row>
    <row r="143" spans="2:19" ht="17" x14ac:dyDescent="0.2">
      <c r="B143" s="6" t="s">
        <v>517</v>
      </c>
      <c r="C143" s="4" t="s">
        <v>518</v>
      </c>
      <c r="D143" s="57">
        <f>IF(LEFT($D$97,8)="Option A",IF($D$54="Moist (&gt; 24%) — not creditable",0,D$136*$D$98),IF(LEFT($D$97,8)="Option B",D$136*$D$100,IF(LEFT($D$97,7)="Track 2",D$120*Defaults!$C$22,D$121)))*$D$29</f>
        <v>78.539999999999992</v>
      </c>
      <c r="E143" s="57">
        <f>IF(LEFT($D$97,8)="Option A",IF($D$54="Moist (&gt; 24%) — not creditable",0,E$136*$D$98),IF(LEFT($D$97,8)="Option B",E$136*$D$100,IF(LEFT($D$97,7)="Track 2",E$120*Defaults!$C$22,E$121)))*$D$29</f>
        <v>137.44499999999999</v>
      </c>
      <c r="F143" s="57">
        <f>IF(LEFT($D$97,8)="Option A",IF($D$54="Moist (&gt; 24%) — not creditable",0,F$136*$D$98),IF(LEFT($D$97,8)="Option B",F$136*$D$100,IF(LEFT($D$97,7)="Track 2",F$120*Defaults!$C$22,F$121)))*$D$29</f>
        <v>196.34999999999997</v>
      </c>
      <c r="G143" s="57">
        <f>IF(LEFT($D$97,8)="Option A",IF($D$54="Moist (&gt; 24%) — not creditable",0,G$136*$D$98),IF(LEFT($D$97,8)="Option B",G$136*$D$100,IF(LEFT($D$97,7)="Track 2",G$120*Defaults!$C$22,G$121)))*$D$29</f>
        <v>196.34999999999997</v>
      </c>
      <c r="H143" s="57">
        <f>IF(LEFT($D$97,8)="Option A",IF($D$54="Moist (&gt; 24%) — not creditable",0,H$136*$D$98),IF(LEFT($D$97,8)="Option B",H$136*$D$100,IF(LEFT($D$97,7)="Track 2",H$120*Defaults!$C$22,H$121)))*$D$29</f>
        <v>196.34999999999997</v>
      </c>
      <c r="I143" s="57">
        <f>IF(LEFT($D$97,8)="Option A",IF($D$54="Moist (&gt; 24%) — not creditable",0,I$136*$D$98),IF(LEFT($D$97,8)="Option B",I$136*$D$100,IF(LEFT($D$97,7)="Track 2",I$120*Defaults!$C$22,I$121)))*$D$29</f>
        <v>196.34999999999997</v>
      </c>
      <c r="J143" s="57">
        <f>IF(LEFT($D$97,8)="Option A",IF($D$54="Moist (&gt; 24%) — not creditable",0,J$136*$D$98),IF(LEFT($D$97,8)="Option B",J$136*$D$100,IF(LEFT($D$97,7)="Track 2",J$120*Defaults!$C$22,J$121)))*$D$29</f>
        <v>196.34999999999997</v>
      </c>
      <c r="K143" s="57">
        <f>IF(LEFT($D$97,8)="Option A",IF($D$54="Moist (&gt; 24%) — not creditable",0,K$136*$D$98),IF(LEFT($D$97,8)="Option B",K$136*$D$100,IF(LEFT($D$97,7)="Track 2",K$120*Defaults!$C$22,K$121)))*$D$29</f>
        <v>196.34999999999997</v>
      </c>
      <c r="L143" s="57">
        <f>IF(LEFT($D$97,8)="Option A",IF($D$54="Moist (&gt; 24%) — not creditable",0,L$136*$D$98),IF(LEFT($D$97,8)="Option B",L$136*$D$100,IF(LEFT($D$97,7)="Track 2",L$120*Defaults!$C$22,L$121)))*$D$29</f>
        <v>196.34999999999997</v>
      </c>
      <c r="M143" s="57">
        <f>IF(LEFT($D$97,8)="Option A",IF($D$54="Moist (&gt; 24%) — not creditable",0,M$136*$D$98),IF(LEFT($D$97,8)="Option B",M$136*$D$100,IF(LEFT($D$97,7)="Track 2",M$120*Defaults!$C$22,M$121)))*$D$29</f>
        <v>196.34999999999997</v>
      </c>
      <c r="N143" s="54">
        <f t="shared" ref="N143:N151" si="7">SUM(D143:M143)</f>
        <v>1786.7849999999994</v>
      </c>
      <c r="R143" s="4" t="s">
        <v>221</v>
      </c>
      <c r="S143" s="9" t="s">
        <v>142</v>
      </c>
    </row>
    <row r="144" spans="2:19" ht="17" x14ac:dyDescent="0.2">
      <c r="B144" s="6" t="s">
        <v>519</v>
      </c>
      <c r="C144" s="4" t="s">
        <v>520</v>
      </c>
      <c r="D144" s="57">
        <f>IF(LEFT($D$104,9)="Small-hub",D$137*Defaults!$C$19,D$122*$D$101+D$123*$D$102)</f>
        <v>0</v>
      </c>
      <c r="E144" s="57">
        <f>IF(LEFT($D$104,9)="Small-hub",E$137*Defaults!$C$19,E$122*$D$101+E$123*$D$102)</f>
        <v>0</v>
      </c>
      <c r="F144" s="57">
        <f>IF(LEFT($D$104,9)="Small-hub",F$137*Defaults!$C$19,F$122*$D$101+F$123*$D$102)</f>
        <v>0</v>
      </c>
      <c r="G144" s="57">
        <f>IF(LEFT($D$104,9)="Small-hub",G$137*Defaults!$C$19,G$122*$D$101+G$123*$D$102)</f>
        <v>0</v>
      </c>
      <c r="H144" s="57">
        <f>IF(LEFT($D$104,9)="Small-hub",H$137*Defaults!$C$19,H$122*$D$101+H$123*$D$102)</f>
        <v>0</v>
      </c>
      <c r="I144" s="57">
        <f>IF(LEFT($D$104,9)="Small-hub",I$137*Defaults!$C$19,I$122*$D$101+I$123*$D$102)</f>
        <v>0</v>
      </c>
      <c r="J144" s="57">
        <f>IF(LEFT($D$104,9)="Small-hub",J$137*Defaults!$C$19,J$122*$D$101+J$123*$D$102)</f>
        <v>0</v>
      </c>
      <c r="K144" s="57">
        <f>IF(LEFT($D$104,9)="Small-hub",K$137*Defaults!$C$19,K$122*$D$101+K$123*$D$102)</f>
        <v>0</v>
      </c>
      <c r="L144" s="57">
        <f>IF(LEFT($D$104,9)="Small-hub",L$137*Defaults!$C$19,L$122*$D$101+L$123*$D$102)</f>
        <v>0</v>
      </c>
      <c r="M144" s="57">
        <f>IF(LEFT($D$104,9)="Small-hub",M$137*Defaults!$C$19,M$122*$D$101+M$123*$D$102)</f>
        <v>0</v>
      </c>
      <c r="N144" s="54">
        <f t="shared" si="7"/>
        <v>0</v>
      </c>
      <c r="R144" s="4" t="s">
        <v>221</v>
      </c>
      <c r="S144" s="9" t="s">
        <v>137</v>
      </c>
    </row>
    <row r="145" spans="2:19" ht="17" x14ac:dyDescent="0.2">
      <c r="B145" s="6" t="s">
        <v>521</v>
      </c>
      <c r="C145" s="4" t="s">
        <v>466</v>
      </c>
      <c r="D145" s="57">
        <f>IF(LEFT($D$69,7)="Default",D$137*$D$70*Defaults!$C$24*Defaults!$C$25*$D$29*MAX(0,D$118),IF(LEFT($D$69,8)="Activity",D$119,0))</f>
        <v>0</v>
      </c>
      <c r="E145" s="57">
        <f>IF(LEFT($D$69,7)="Default",E$137*$D$70*Defaults!$C$24*Defaults!$C$25*$D$29*MAX(0,E$118),IF(LEFT($D$69,8)="Activity",E$119,0))</f>
        <v>0</v>
      </c>
      <c r="F145" s="57">
        <f>IF(LEFT($D$69,7)="Default",F$137*$D$70*Defaults!$C$24*Defaults!$C$25*$D$29*MAX(0,F$118),IF(LEFT($D$69,8)="Activity",F$119,0))</f>
        <v>0</v>
      </c>
      <c r="G145" s="57">
        <f>IF(LEFT($D$69,7)="Default",G$137*$D$70*Defaults!$C$24*Defaults!$C$25*$D$29*MAX(0,G$118),IF(LEFT($D$69,8)="Activity",G$119,0))</f>
        <v>0</v>
      </c>
      <c r="H145" s="57">
        <f>IF(LEFT($D$69,7)="Default",H$137*$D$70*Defaults!$C$24*Defaults!$C$25*$D$29*MAX(0,H$118),IF(LEFT($D$69,8)="Activity",H$119,0))</f>
        <v>0</v>
      </c>
      <c r="I145" s="57">
        <f>IF(LEFT($D$69,7)="Default",I$137*$D$70*Defaults!$C$24*Defaults!$C$25*$D$29*MAX(0,I$118),IF(LEFT($D$69,8)="Activity",I$119,0))</f>
        <v>0</v>
      </c>
      <c r="J145" s="57">
        <f>IF(LEFT($D$69,7)="Default",J$137*$D$70*Defaults!$C$24*Defaults!$C$25*$D$29*MAX(0,J$118),IF(LEFT($D$69,8)="Activity",J$119,0))</f>
        <v>0</v>
      </c>
      <c r="K145" s="57">
        <f>IF(LEFT($D$69,7)="Default",K$137*$D$70*Defaults!$C$24*Defaults!$C$25*$D$29*MAX(0,K$118),IF(LEFT($D$69,8)="Activity",K$119,0))</f>
        <v>0</v>
      </c>
      <c r="L145" s="57">
        <f>IF(LEFT($D$69,7)="Default",L$137*$D$70*Defaults!$C$24*Defaults!$C$25*$D$29*MAX(0,L$118),IF(LEFT($D$69,8)="Activity",L$119,0))</f>
        <v>0</v>
      </c>
      <c r="M145" s="57">
        <f>IF(LEFT($D$69,7)="Default",M$137*$D$70*Defaults!$C$24*Defaults!$C$25*$D$29*MAX(0,M$118),IF(LEFT($D$69,8)="Activity",M$119,0))</f>
        <v>0</v>
      </c>
      <c r="N145" s="54">
        <f t="shared" si="7"/>
        <v>0</v>
      </c>
      <c r="R145" s="4" t="s">
        <v>221</v>
      </c>
      <c r="S145" s="9" t="s">
        <v>137</v>
      </c>
    </row>
    <row r="146" spans="2:19" ht="17" x14ac:dyDescent="0.2">
      <c r="B146" s="6" t="s">
        <v>522</v>
      </c>
      <c r="C146" s="4" t="s">
        <v>482</v>
      </c>
      <c r="D146" s="57">
        <f t="shared" ref="D146:M146" si="8">D$124</f>
        <v>0</v>
      </c>
      <c r="E146" s="57">
        <f t="shared" si="8"/>
        <v>0</v>
      </c>
      <c r="F146" s="57">
        <f t="shared" si="8"/>
        <v>0</v>
      </c>
      <c r="G146" s="57">
        <f t="shared" si="8"/>
        <v>0</v>
      </c>
      <c r="H146" s="57">
        <f t="shared" si="8"/>
        <v>0</v>
      </c>
      <c r="I146" s="57">
        <f t="shared" si="8"/>
        <v>0</v>
      </c>
      <c r="J146" s="57">
        <f t="shared" si="8"/>
        <v>0</v>
      </c>
      <c r="K146" s="57">
        <f t="shared" si="8"/>
        <v>0</v>
      </c>
      <c r="L146" s="57">
        <f t="shared" si="8"/>
        <v>0</v>
      </c>
      <c r="M146" s="57">
        <f t="shared" si="8"/>
        <v>0</v>
      </c>
      <c r="N146" s="54">
        <f t="shared" si="7"/>
        <v>0</v>
      </c>
      <c r="R146" s="4" t="s">
        <v>221</v>
      </c>
      <c r="S146" s="9" t="s">
        <v>483</v>
      </c>
    </row>
    <row r="147" spans="2:19" ht="17" x14ac:dyDescent="0.2">
      <c r="B147" s="6" t="s">
        <v>523</v>
      </c>
      <c r="C147" s="4" t="s">
        <v>524</v>
      </c>
      <c r="D147" s="57">
        <f t="shared" ref="D147:M147" si="9">D$125*$D$101+D$126*$D$102</f>
        <v>0</v>
      </c>
      <c r="E147" s="57">
        <f t="shared" si="9"/>
        <v>0</v>
      </c>
      <c r="F147" s="57">
        <f t="shared" si="9"/>
        <v>0</v>
      </c>
      <c r="G147" s="57">
        <f t="shared" si="9"/>
        <v>0</v>
      </c>
      <c r="H147" s="57">
        <f t="shared" si="9"/>
        <v>0</v>
      </c>
      <c r="I147" s="57">
        <f t="shared" si="9"/>
        <v>0</v>
      </c>
      <c r="J147" s="57">
        <f t="shared" si="9"/>
        <v>0</v>
      </c>
      <c r="K147" s="57">
        <f t="shared" si="9"/>
        <v>0</v>
      </c>
      <c r="L147" s="57">
        <f t="shared" si="9"/>
        <v>0</v>
      </c>
      <c r="M147" s="57">
        <f t="shared" si="9"/>
        <v>0</v>
      </c>
      <c r="N147" s="54">
        <f t="shared" si="7"/>
        <v>0</v>
      </c>
      <c r="R147" s="4" t="s">
        <v>221</v>
      </c>
      <c r="S147" s="9" t="s">
        <v>142</v>
      </c>
    </row>
    <row r="148" spans="2:19" ht="17" x14ac:dyDescent="0.2">
      <c r="B148" s="6" t="s">
        <v>525</v>
      </c>
      <c r="C148" s="4" t="s">
        <v>526</v>
      </c>
      <c r="D148" s="57">
        <f t="shared" ref="D148:M148" si="10">D$127*$D$103</f>
        <v>1.08</v>
      </c>
      <c r="E148" s="57">
        <f t="shared" si="10"/>
        <v>1.8900000000000001</v>
      </c>
      <c r="F148" s="57">
        <f t="shared" si="10"/>
        <v>2.7</v>
      </c>
      <c r="G148" s="57">
        <f t="shared" si="10"/>
        <v>2.7</v>
      </c>
      <c r="H148" s="57">
        <f t="shared" si="10"/>
        <v>2.7</v>
      </c>
      <c r="I148" s="57">
        <f t="shared" si="10"/>
        <v>2.7</v>
      </c>
      <c r="J148" s="57">
        <f t="shared" si="10"/>
        <v>2.7</v>
      </c>
      <c r="K148" s="57">
        <f t="shared" si="10"/>
        <v>2.7</v>
      </c>
      <c r="L148" s="57">
        <f t="shared" si="10"/>
        <v>2.7</v>
      </c>
      <c r="M148" s="57">
        <f t="shared" si="10"/>
        <v>2.7</v>
      </c>
      <c r="N148" s="54">
        <f t="shared" si="7"/>
        <v>24.569999999999997</v>
      </c>
      <c r="R148" s="4" t="s">
        <v>221</v>
      </c>
      <c r="S148" s="9" t="s">
        <v>146</v>
      </c>
    </row>
    <row r="149" spans="2:19" ht="17" x14ac:dyDescent="0.2">
      <c r="B149" s="6" t="s">
        <v>527</v>
      </c>
      <c r="C149" s="4" t="s">
        <v>528</v>
      </c>
      <c r="D149" s="57">
        <f t="shared" ref="D149:M149" si="11">D$128*$D$101+D$129</f>
        <v>0</v>
      </c>
      <c r="E149" s="57">
        <f t="shared" si="11"/>
        <v>0</v>
      </c>
      <c r="F149" s="57">
        <f t="shared" si="11"/>
        <v>0</v>
      </c>
      <c r="G149" s="57">
        <f t="shared" si="11"/>
        <v>0</v>
      </c>
      <c r="H149" s="57">
        <f t="shared" si="11"/>
        <v>0</v>
      </c>
      <c r="I149" s="57">
        <f t="shared" si="11"/>
        <v>0</v>
      </c>
      <c r="J149" s="57">
        <f t="shared" si="11"/>
        <v>0</v>
      </c>
      <c r="K149" s="57">
        <f t="shared" si="11"/>
        <v>0</v>
      </c>
      <c r="L149" s="57">
        <f t="shared" si="11"/>
        <v>0</v>
      </c>
      <c r="M149" s="57">
        <f t="shared" si="11"/>
        <v>0</v>
      </c>
      <c r="N149" s="54">
        <f t="shared" si="7"/>
        <v>0</v>
      </c>
      <c r="R149" s="4" t="s">
        <v>221</v>
      </c>
      <c r="S149" s="9" t="s">
        <v>149</v>
      </c>
    </row>
    <row r="150" spans="2:19" ht="17" x14ac:dyDescent="0.2">
      <c r="B150" s="6" t="s">
        <v>529</v>
      </c>
      <c r="C150" s="4"/>
      <c r="D150" s="57">
        <f t="shared" ref="D150:M150" si="12">D$143+D$144+D$145+D$146+D$147+D$148+D$149</f>
        <v>79.61999999999999</v>
      </c>
      <c r="E150" s="57">
        <f t="shared" si="12"/>
        <v>139.33499999999998</v>
      </c>
      <c r="F150" s="57">
        <f t="shared" si="12"/>
        <v>199.04999999999995</v>
      </c>
      <c r="G150" s="57">
        <f t="shared" si="12"/>
        <v>199.04999999999995</v>
      </c>
      <c r="H150" s="57">
        <f t="shared" si="12"/>
        <v>199.04999999999995</v>
      </c>
      <c r="I150" s="57">
        <f t="shared" si="12"/>
        <v>199.04999999999995</v>
      </c>
      <c r="J150" s="57">
        <f t="shared" si="12"/>
        <v>199.04999999999995</v>
      </c>
      <c r="K150" s="57">
        <f t="shared" si="12"/>
        <v>199.04999999999995</v>
      </c>
      <c r="L150" s="57">
        <f t="shared" si="12"/>
        <v>199.04999999999995</v>
      </c>
      <c r="M150" s="57">
        <f t="shared" si="12"/>
        <v>199.04999999999995</v>
      </c>
      <c r="N150" s="54">
        <f t="shared" si="7"/>
        <v>1811.3549999999996</v>
      </c>
      <c r="R150" s="4" t="s">
        <v>221</v>
      </c>
      <c r="S150" s="9" t="s">
        <v>134</v>
      </c>
    </row>
    <row r="151" spans="2:19" ht="17" x14ac:dyDescent="0.2">
      <c r="B151" s="35" t="s">
        <v>228</v>
      </c>
      <c r="C151" s="2" t="s">
        <v>530</v>
      </c>
      <c r="D151" s="26">
        <f t="shared" ref="D151:M151" si="13">D$150*(1+$D$37)</f>
        <v>83.600999999999999</v>
      </c>
      <c r="E151" s="26">
        <f t="shared" si="13"/>
        <v>146.30175</v>
      </c>
      <c r="F151" s="26">
        <f t="shared" si="13"/>
        <v>209.00249999999997</v>
      </c>
      <c r="G151" s="26">
        <f t="shared" si="13"/>
        <v>209.00249999999997</v>
      </c>
      <c r="H151" s="26">
        <f t="shared" si="13"/>
        <v>209.00249999999997</v>
      </c>
      <c r="I151" s="26">
        <f t="shared" si="13"/>
        <v>209.00249999999997</v>
      </c>
      <c r="J151" s="26">
        <f t="shared" si="13"/>
        <v>209.00249999999997</v>
      </c>
      <c r="K151" s="26">
        <f t="shared" si="13"/>
        <v>209.00249999999997</v>
      </c>
      <c r="L151" s="26">
        <f t="shared" si="13"/>
        <v>209.00249999999997</v>
      </c>
      <c r="M151" s="26">
        <f t="shared" si="13"/>
        <v>209.00249999999997</v>
      </c>
      <c r="N151" s="26">
        <f t="shared" si="7"/>
        <v>1901.9227500000002</v>
      </c>
      <c r="R151" s="2" t="s">
        <v>221</v>
      </c>
      <c r="S151" s="27" t="s">
        <v>531</v>
      </c>
    </row>
    <row r="153" spans="2:19" ht="16" x14ac:dyDescent="0.2">
      <c r="B153" s="49" t="s">
        <v>204</v>
      </c>
    </row>
    <row r="154" spans="2:19" ht="30" customHeight="1" x14ac:dyDescent="0.2">
      <c r="B154" s="6" t="s">
        <v>532</v>
      </c>
      <c r="C154" s="4" t="s">
        <v>432</v>
      </c>
      <c r="D154" s="57">
        <f>IF($D$109="Option B (inventory)",IF(1&lt;=$D$25,$D$108*D$115,0),IF(1&lt;=$D$25,D$136*IF($D$21="Track 1",Defaults!$C$20,Defaults!$C$21),0))</f>
        <v>10.200000000000001</v>
      </c>
      <c r="E154" s="57">
        <f>IF($D$109="Option B (inventory)",IF(2&lt;=$D$25,$D$108*E$115,0),IF(2&lt;=$D$25,E$136*IF($D$21="Track 1",Defaults!$C$20,Defaults!$C$21),0))</f>
        <v>17.850000000000001</v>
      </c>
      <c r="F154" s="57">
        <f>IF($D$109="Option B (inventory)",IF(3&lt;=$D$25,$D$108*F$115,0),IF(3&lt;=$D$25,F$136*IF($D$21="Track 1",Defaults!$C$20,Defaults!$C$21),0))</f>
        <v>25.5</v>
      </c>
      <c r="G154" s="57">
        <f>IF($D$109="Option B (inventory)",IF(4&lt;=$D$25,$D$108*G$115,0),IF(4&lt;=$D$25,G$136*IF($D$21="Track 1",Defaults!$C$20,Defaults!$C$21),0))</f>
        <v>25.5</v>
      </c>
      <c r="H154" s="57">
        <f>IF($D$109="Option B (inventory)",IF(5&lt;=$D$25,$D$108*H$115,0),IF(5&lt;=$D$25,H$136*IF($D$21="Track 1",Defaults!$C$20,Defaults!$C$21),0))</f>
        <v>25.5</v>
      </c>
      <c r="I154" s="57">
        <f>IF($D$109="Option B (inventory)",IF(6&lt;=$D$25,$D$108*I$115,0),IF(6&lt;=$D$25,I$136*IF($D$21="Track 1",Defaults!$C$20,Defaults!$C$21),0))</f>
        <v>0</v>
      </c>
      <c r="J154" s="57">
        <f>IF($D$109="Option B (inventory)",IF(7&lt;=$D$25,$D$108*J$115,0),IF(7&lt;=$D$25,J$136*IF($D$21="Track 1",Defaults!$C$20,Defaults!$C$21),0))</f>
        <v>0</v>
      </c>
      <c r="K154" s="57">
        <f>IF($D$109="Option B (inventory)",IF(8&lt;=$D$25,$D$108*K$115,0),IF(8&lt;=$D$25,K$136*IF($D$21="Track 1",Defaults!$C$20,Defaults!$C$21),0))</f>
        <v>0</v>
      </c>
      <c r="L154" s="57">
        <f>IF($D$109="Option B (inventory)",IF(9&lt;=$D$25,$D$108*L$115,0),IF(9&lt;=$D$25,L$136*IF($D$21="Track 1",Defaults!$C$20,Defaults!$C$21),0))</f>
        <v>0</v>
      </c>
      <c r="M154" s="57">
        <f>IF($D$109="Option B (inventory)",IF(10&lt;=$D$25,$D$108*M$115,0),IF(10&lt;=$D$25,M$136*IF($D$21="Track 1",Defaults!$C$20,Defaults!$C$21),0))</f>
        <v>0</v>
      </c>
      <c r="N154" s="54">
        <f t="shared" ref="N154:N159" si="14">SUM(D154:M154)</f>
        <v>104.55000000000001</v>
      </c>
      <c r="R154" s="4" t="s">
        <v>221</v>
      </c>
      <c r="S154" s="9" t="s">
        <v>436</v>
      </c>
    </row>
    <row r="155" spans="2:19" ht="17" x14ac:dyDescent="0.2">
      <c r="B155" s="6" t="s">
        <v>533</v>
      </c>
      <c r="C155" s="4" t="s">
        <v>534</v>
      </c>
      <c r="D155" s="57">
        <f>IF($D$55="Yes",0,D$130*IF(LEFT($D$56,6)="Fodder",$D$57,INDEX(Defaults!$C$74:$C$79,MATCH($D$56,Defaults!$B$74:$B$79,0))))</f>
        <v>0</v>
      </c>
      <c r="E155" s="57">
        <f>IF($D$55="Yes",0,E$130*IF(LEFT($D$56,6)="Fodder",$D$57,INDEX(Defaults!$C$74:$C$79,MATCH($D$56,Defaults!$B$74:$B$79,0))))</f>
        <v>0</v>
      </c>
      <c r="F155" s="57">
        <f>IF($D$55="Yes",0,F$130*IF(LEFT($D$56,6)="Fodder",$D$57,INDEX(Defaults!$C$74:$C$79,MATCH($D$56,Defaults!$B$74:$B$79,0))))</f>
        <v>0</v>
      </c>
      <c r="G155" s="57">
        <f>IF($D$55="Yes",0,G$130*IF(LEFT($D$56,6)="Fodder",$D$57,INDEX(Defaults!$C$74:$C$79,MATCH($D$56,Defaults!$B$74:$B$79,0))))</f>
        <v>0</v>
      </c>
      <c r="H155" s="57">
        <f>IF($D$55="Yes",0,H$130*IF(LEFT($D$56,6)="Fodder",$D$57,INDEX(Defaults!$C$74:$C$79,MATCH($D$56,Defaults!$B$74:$B$79,0))))</f>
        <v>0</v>
      </c>
      <c r="I155" s="57">
        <f>IF($D$55="Yes",0,I$130*IF(LEFT($D$56,6)="Fodder",$D$57,INDEX(Defaults!$C$74:$C$79,MATCH($D$56,Defaults!$B$74:$B$79,0))))</f>
        <v>0</v>
      </c>
      <c r="J155" s="57">
        <f>IF($D$55="Yes",0,J$130*IF(LEFT($D$56,6)="Fodder",$D$57,INDEX(Defaults!$C$74:$C$79,MATCH($D$56,Defaults!$B$74:$B$79,0))))</f>
        <v>0</v>
      </c>
      <c r="K155" s="57">
        <f>IF($D$55="Yes",0,K$130*IF(LEFT($D$56,6)="Fodder",$D$57,INDEX(Defaults!$C$74:$C$79,MATCH($D$56,Defaults!$B$74:$B$79,0))))</f>
        <v>0</v>
      </c>
      <c r="L155" s="57">
        <f>IF($D$55="Yes",0,L$130*IF(LEFT($D$56,6)="Fodder",$D$57,INDEX(Defaults!$C$74:$C$79,MATCH($D$56,Defaults!$B$74:$B$79,0))))</f>
        <v>0</v>
      </c>
      <c r="M155" s="57">
        <f>IF($D$55="Yes",0,M$130*IF(LEFT($D$56,6)="Fodder",$D$57,INDEX(Defaults!$C$74:$C$79,MATCH($D$56,Defaults!$B$74:$B$79,0))))</f>
        <v>0</v>
      </c>
      <c r="N155" s="54">
        <f t="shared" si="14"/>
        <v>0</v>
      </c>
      <c r="R155" s="4" t="s">
        <v>221</v>
      </c>
      <c r="S155" s="9" t="s">
        <v>535</v>
      </c>
    </row>
    <row r="156" spans="2:19" ht="30" customHeight="1" x14ac:dyDescent="0.2">
      <c r="B156" s="6" t="s">
        <v>536</v>
      </c>
      <c r="C156" s="4"/>
      <c r="D156" s="57">
        <f>IF(AND(LEFT($D$23,2)="F1",LEFT($D$58,8)="Retained"),D$137*Defaults!$C$32,0)</f>
        <v>0</v>
      </c>
      <c r="E156" s="57">
        <f>IF(AND(LEFT($D$23,2)="F1",LEFT($D$58,8)="Retained"),E$137*Defaults!$C$32,0)</f>
        <v>0</v>
      </c>
      <c r="F156" s="57">
        <f>IF(AND(LEFT($D$23,2)="F1",LEFT($D$58,8)="Retained"),F$137*Defaults!$C$32,0)</f>
        <v>0</v>
      </c>
      <c r="G156" s="57">
        <f>IF(AND(LEFT($D$23,2)="F1",LEFT($D$58,8)="Retained"),G$137*Defaults!$C$32,0)</f>
        <v>0</v>
      </c>
      <c r="H156" s="57">
        <f>IF(AND(LEFT($D$23,2)="F1",LEFT($D$58,8)="Retained"),H$137*Defaults!$C$32,0)</f>
        <v>0</v>
      </c>
      <c r="I156" s="57">
        <f>IF(AND(LEFT($D$23,2)="F1",LEFT($D$58,8)="Retained"),I$137*Defaults!$C$32,0)</f>
        <v>0</v>
      </c>
      <c r="J156" s="57">
        <f>IF(AND(LEFT($D$23,2)="F1",LEFT($D$58,8)="Retained"),J$137*Defaults!$C$32,0)</f>
        <v>0</v>
      </c>
      <c r="K156" s="57">
        <f>IF(AND(LEFT($D$23,2)="F1",LEFT($D$58,8)="Retained"),K$137*Defaults!$C$32,0)</f>
        <v>0</v>
      </c>
      <c r="L156" s="57">
        <f>IF(AND(LEFT($D$23,2)="F1",LEFT($D$58,8)="Retained"),L$137*Defaults!$C$32,0)</f>
        <v>0</v>
      </c>
      <c r="M156" s="57">
        <f>IF(AND(LEFT($D$23,2)="F1",LEFT($D$58,8)="Retained"),M$137*Defaults!$C$32,0)</f>
        <v>0</v>
      </c>
      <c r="N156" s="54">
        <f t="shared" si="14"/>
        <v>0</v>
      </c>
      <c r="R156" s="4" t="s">
        <v>221</v>
      </c>
      <c r="S156" s="9" t="s">
        <v>537</v>
      </c>
    </row>
    <row r="157" spans="2:19" ht="30" customHeight="1" x14ac:dyDescent="0.2">
      <c r="B157" s="6" t="s">
        <v>538</v>
      </c>
      <c r="C157" s="4"/>
      <c r="D157" s="57">
        <f>IF(LEFT($D$23,2)&lt;&gt;"F1",0,IF(LEFT($D$58,7)="Removed",0,D$137*(IF(LEFT($D$58,8)="Retained",$D$65*Defaults!$C$33,0)+(1-$D$68)*($D$66*Defaults!$C$43+$D$67*Defaults!$C$44))))</f>
        <v>0</v>
      </c>
      <c r="E157" s="57">
        <f>IF(LEFT($D$23,2)&lt;&gt;"F1",0,IF(LEFT($D$58,7)="Removed",0,E$137*(IF(LEFT($D$58,8)="Retained",$D$65*Defaults!$C$33,0)+(1-$D$68)*($D$66*Defaults!$C$43+$D$67*Defaults!$C$44))))</f>
        <v>0</v>
      </c>
      <c r="F157" s="57">
        <f>IF(LEFT($D$23,2)&lt;&gt;"F1",0,IF(LEFT($D$58,7)="Removed",0,F$137*(IF(LEFT($D$58,8)="Retained",$D$65*Defaults!$C$33,0)+(1-$D$68)*($D$66*Defaults!$C$43+$D$67*Defaults!$C$44))))</f>
        <v>0</v>
      </c>
      <c r="G157" s="57">
        <f>IF(LEFT($D$23,2)&lt;&gt;"F1",0,IF(LEFT($D$58,7)="Removed",0,G$137*(IF(LEFT($D$58,8)="Retained",$D$65*Defaults!$C$33,0)+(1-$D$68)*($D$66*Defaults!$C$43+$D$67*Defaults!$C$44))))</f>
        <v>0</v>
      </c>
      <c r="H157" s="57">
        <f>IF(LEFT($D$23,2)&lt;&gt;"F1",0,IF(LEFT($D$58,7)="Removed",0,H$137*(IF(LEFT($D$58,8)="Retained",$D$65*Defaults!$C$33,0)+(1-$D$68)*($D$66*Defaults!$C$43+$D$67*Defaults!$C$44))))</f>
        <v>0</v>
      </c>
      <c r="I157" s="57">
        <f>IF(LEFT($D$23,2)&lt;&gt;"F1",0,IF(LEFT($D$58,7)="Removed",0,I$137*(IF(LEFT($D$58,8)="Retained",$D$65*Defaults!$C$33,0)+(1-$D$68)*($D$66*Defaults!$C$43+$D$67*Defaults!$C$44))))</f>
        <v>0</v>
      </c>
      <c r="J157" s="57">
        <f>IF(LEFT($D$23,2)&lt;&gt;"F1",0,IF(LEFT($D$58,7)="Removed",0,J$137*(IF(LEFT($D$58,8)="Retained",$D$65*Defaults!$C$33,0)+(1-$D$68)*($D$66*Defaults!$C$43+$D$67*Defaults!$C$44))))</f>
        <v>0</v>
      </c>
      <c r="K157" s="57">
        <f>IF(LEFT($D$23,2)&lt;&gt;"F1",0,IF(LEFT($D$58,7)="Removed",0,K$137*(IF(LEFT($D$58,8)="Retained",$D$65*Defaults!$C$33,0)+(1-$D$68)*($D$66*Defaults!$C$43+$D$67*Defaults!$C$44))))</f>
        <v>0</v>
      </c>
      <c r="L157" s="57">
        <f>IF(LEFT($D$23,2)&lt;&gt;"F1",0,IF(LEFT($D$58,7)="Removed",0,L$137*(IF(LEFT($D$58,8)="Retained",$D$65*Defaults!$C$33,0)+(1-$D$68)*($D$66*Defaults!$C$43+$D$67*Defaults!$C$44))))</f>
        <v>0</v>
      </c>
      <c r="M157" s="57">
        <f>IF(LEFT($D$23,2)&lt;&gt;"F1",0,IF(LEFT($D$58,7)="Removed",0,M$137*(IF(LEFT($D$58,8)="Retained",$D$65*Defaults!$C$33,0)+(1-$D$68)*($D$66*Defaults!$C$43+$D$67*Defaults!$C$44))))</f>
        <v>0</v>
      </c>
      <c r="N157" s="54">
        <f t="shared" si="14"/>
        <v>0</v>
      </c>
      <c r="R157" s="4" t="s">
        <v>221</v>
      </c>
      <c r="S157" s="9" t="s">
        <v>539</v>
      </c>
    </row>
    <row r="158" spans="2:19" ht="17" x14ac:dyDescent="0.2">
      <c r="B158" s="6" t="s">
        <v>540</v>
      </c>
      <c r="C158" s="4"/>
      <c r="D158" s="57">
        <f t="shared" ref="D158:M158" si="15">D$154+D$155+D$156+D$157</f>
        <v>10.200000000000001</v>
      </c>
      <c r="E158" s="57">
        <f t="shared" si="15"/>
        <v>17.850000000000001</v>
      </c>
      <c r="F158" s="57">
        <f t="shared" si="15"/>
        <v>25.5</v>
      </c>
      <c r="G158" s="57">
        <f t="shared" si="15"/>
        <v>25.5</v>
      </c>
      <c r="H158" s="57">
        <f t="shared" si="15"/>
        <v>25.5</v>
      </c>
      <c r="I158" s="57">
        <f t="shared" si="15"/>
        <v>0</v>
      </c>
      <c r="J158" s="57">
        <f t="shared" si="15"/>
        <v>0</v>
      </c>
      <c r="K158" s="57">
        <f t="shared" si="15"/>
        <v>0</v>
      </c>
      <c r="L158" s="57">
        <f t="shared" si="15"/>
        <v>0</v>
      </c>
      <c r="M158" s="57">
        <f t="shared" si="15"/>
        <v>0</v>
      </c>
      <c r="N158" s="54">
        <f t="shared" si="14"/>
        <v>104.55000000000001</v>
      </c>
      <c r="R158" s="4" t="s">
        <v>221</v>
      </c>
      <c r="S158" s="9" t="s">
        <v>230</v>
      </c>
    </row>
    <row r="159" spans="2:19" ht="17" x14ac:dyDescent="0.2">
      <c r="B159" s="35" t="s">
        <v>229</v>
      </c>
      <c r="C159" s="2" t="s">
        <v>541</v>
      </c>
      <c r="D159" s="26">
        <f t="shared" ref="D159:M159" si="16">D$158*(1+$D$38)</f>
        <v>10.200000000000001</v>
      </c>
      <c r="E159" s="26">
        <f t="shared" si="16"/>
        <v>17.850000000000001</v>
      </c>
      <c r="F159" s="26">
        <f t="shared" si="16"/>
        <v>25.5</v>
      </c>
      <c r="G159" s="26">
        <f t="shared" si="16"/>
        <v>25.5</v>
      </c>
      <c r="H159" s="26">
        <f t="shared" si="16"/>
        <v>25.5</v>
      </c>
      <c r="I159" s="26">
        <f t="shared" si="16"/>
        <v>0</v>
      </c>
      <c r="J159" s="26">
        <f t="shared" si="16"/>
        <v>0</v>
      </c>
      <c r="K159" s="26">
        <f t="shared" si="16"/>
        <v>0</v>
      </c>
      <c r="L159" s="26">
        <f t="shared" si="16"/>
        <v>0</v>
      </c>
      <c r="M159" s="26">
        <f t="shared" si="16"/>
        <v>0</v>
      </c>
      <c r="N159" s="26">
        <f t="shared" si="14"/>
        <v>104.55000000000001</v>
      </c>
      <c r="R159" s="2" t="s">
        <v>221</v>
      </c>
      <c r="S159" s="27" t="s">
        <v>542</v>
      </c>
    </row>
    <row r="161" spans="2:19" ht="16" x14ac:dyDescent="0.2">
      <c r="B161" s="49" t="s">
        <v>543</v>
      </c>
    </row>
    <row r="162" spans="2:19" ht="17" x14ac:dyDescent="0.2">
      <c r="B162" s="6" t="s">
        <v>544</v>
      </c>
      <c r="C162" s="4" t="s">
        <v>545</v>
      </c>
      <c r="D162" s="21">
        <f>0</f>
        <v>0</v>
      </c>
      <c r="E162" s="21">
        <f>0</f>
        <v>0</v>
      </c>
      <c r="F162" s="21">
        <f>0</f>
        <v>0</v>
      </c>
      <c r="G162" s="21">
        <f>0</f>
        <v>0</v>
      </c>
      <c r="H162" s="21">
        <f>0</f>
        <v>0</v>
      </c>
      <c r="I162" s="21">
        <f>0</f>
        <v>0</v>
      </c>
      <c r="J162" s="21">
        <f>0</f>
        <v>0</v>
      </c>
      <c r="K162" s="21">
        <f>0</f>
        <v>0</v>
      </c>
      <c r="L162" s="21">
        <f>0</f>
        <v>0</v>
      </c>
      <c r="M162" s="21">
        <f>0</f>
        <v>0</v>
      </c>
      <c r="N162" s="52">
        <f>SUM(D162:M162)</f>
        <v>0</v>
      </c>
      <c r="R162" s="4" t="s">
        <v>221</v>
      </c>
      <c r="S162" s="9" t="s">
        <v>118</v>
      </c>
    </row>
    <row r="163" spans="2:19" ht="17" x14ac:dyDescent="0.2">
      <c r="B163" s="6" t="s">
        <v>546</v>
      </c>
      <c r="C163" s="4" t="s">
        <v>547</v>
      </c>
      <c r="D163" s="21">
        <f t="shared" ref="D163:M163" si="17">D$151+D$159</f>
        <v>93.801000000000002</v>
      </c>
      <c r="E163" s="21">
        <f t="shared" si="17"/>
        <v>164.15174999999999</v>
      </c>
      <c r="F163" s="21">
        <f t="shared" si="17"/>
        <v>234.50249999999997</v>
      </c>
      <c r="G163" s="21">
        <f t="shared" si="17"/>
        <v>234.50249999999997</v>
      </c>
      <c r="H163" s="21">
        <f t="shared" si="17"/>
        <v>234.50249999999997</v>
      </c>
      <c r="I163" s="21">
        <f t="shared" si="17"/>
        <v>209.00249999999997</v>
      </c>
      <c r="J163" s="21">
        <f t="shared" si="17"/>
        <v>209.00249999999997</v>
      </c>
      <c r="K163" s="21">
        <f t="shared" si="17"/>
        <v>209.00249999999997</v>
      </c>
      <c r="L163" s="21">
        <f t="shared" si="17"/>
        <v>209.00249999999997</v>
      </c>
      <c r="M163" s="21">
        <f t="shared" si="17"/>
        <v>209.00249999999997</v>
      </c>
      <c r="N163" s="52">
        <f>SUM(D163:M163)</f>
        <v>2006.4727500000001</v>
      </c>
      <c r="R163" s="4" t="s">
        <v>221</v>
      </c>
      <c r="S163" s="9" t="s">
        <v>548</v>
      </c>
    </row>
    <row r="164" spans="2:19" ht="30" customHeight="1" x14ac:dyDescent="0.2">
      <c r="B164" s="6" t="s">
        <v>549</v>
      </c>
      <c r="C164" s="4" t="s">
        <v>550</v>
      </c>
      <c r="D164" s="58">
        <f>0</f>
        <v>0</v>
      </c>
      <c r="E164" s="58">
        <f t="shared" ref="E164:M164" si="18">IF(D$165&lt;0,D$165,IF(D$167="Fail",MAX(0,D$165),0))</f>
        <v>0</v>
      </c>
      <c r="F164" s="58">
        <f t="shared" si="18"/>
        <v>0</v>
      </c>
      <c r="G164" s="58">
        <f t="shared" si="18"/>
        <v>0</v>
      </c>
      <c r="H164" s="58">
        <f t="shared" si="18"/>
        <v>0</v>
      </c>
      <c r="I164" s="58">
        <f t="shared" si="18"/>
        <v>0</v>
      </c>
      <c r="J164" s="58">
        <f t="shared" si="18"/>
        <v>0</v>
      </c>
      <c r="K164" s="58">
        <f t="shared" si="18"/>
        <v>0</v>
      </c>
      <c r="L164" s="58">
        <f t="shared" si="18"/>
        <v>0</v>
      </c>
      <c r="M164" s="58">
        <f t="shared" si="18"/>
        <v>0</v>
      </c>
      <c r="R164" s="4" t="s">
        <v>221</v>
      </c>
      <c r="S164" s="9" t="s">
        <v>551</v>
      </c>
    </row>
    <row r="165" spans="2:19" ht="17" x14ac:dyDescent="0.2">
      <c r="B165" s="35" t="s">
        <v>552</v>
      </c>
      <c r="C165" s="2" t="s">
        <v>553</v>
      </c>
      <c r="D165" s="59">
        <f t="shared" ref="D165:M165" si="19">D$140-D$162-D$163+D$164</f>
        <v>628.17925900000057</v>
      </c>
      <c r="E165" s="59">
        <f t="shared" si="19"/>
        <v>1099.313703250001</v>
      </c>
      <c r="F165" s="59">
        <f t="shared" si="19"/>
        <v>1570.4481475000014</v>
      </c>
      <c r="G165" s="59">
        <f t="shared" si="19"/>
        <v>1570.4481475000014</v>
      </c>
      <c r="H165" s="59">
        <f t="shared" si="19"/>
        <v>1570.4481475000014</v>
      </c>
      <c r="I165" s="59">
        <f t="shared" si="19"/>
        <v>1595.9481475000014</v>
      </c>
      <c r="J165" s="59">
        <f t="shared" si="19"/>
        <v>1595.9481475000014</v>
      </c>
      <c r="K165" s="59">
        <f t="shared" si="19"/>
        <v>1595.9481475000014</v>
      </c>
      <c r="L165" s="59">
        <f t="shared" si="19"/>
        <v>1595.9481475000014</v>
      </c>
      <c r="M165" s="59">
        <f t="shared" si="19"/>
        <v>1595.9481475000014</v>
      </c>
      <c r="R165" s="2" t="s">
        <v>221</v>
      </c>
      <c r="S165" s="27" t="s">
        <v>554</v>
      </c>
    </row>
    <row r="166" spans="2:19" ht="17" x14ac:dyDescent="0.2">
      <c r="B166" s="6" t="s">
        <v>555</v>
      </c>
      <c r="C166" s="4" t="s">
        <v>556</v>
      </c>
      <c r="D166" s="60">
        <f t="shared" ref="D166:M166" si="20">IF(D$150&gt;0,D$139/D$150,IF(D$139&gt;0,999,0))</f>
        <v>12.917608641044977</v>
      </c>
      <c r="E166" s="60">
        <f t="shared" si="20"/>
        <v>12.917608641044978</v>
      </c>
      <c r="F166" s="60">
        <f t="shared" si="20"/>
        <v>12.917608641044978</v>
      </c>
      <c r="G166" s="60">
        <f t="shared" si="20"/>
        <v>12.917608641044978</v>
      </c>
      <c r="H166" s="60">
        <f t="shared" si="20"/>
        <v>12.917608641044978</v>
      </c>
      <c r="I166" s="60">
        <f t="shared" si="20"/>
        <v>12.917608641044978</v>
      </c>
      <c r="J166" s="60">
        <f t="shared" si="20"/>
        <v>12.917608641044978</v>
      </c>
      <c r="K166" s="60">
        <f t="shared" si="20"/>
        <v>12.917608641044978</v>
      </c>
      <c r="L166" s="60">
        <f t="shared" si="20"/>
        <v>12.917608641044978</v>
      </c>
      <c r="M166" s="60">
        <f t="shared" si="20"/>
        <v>12.917608641044978</v>
      </c>
      <c r="R166" s="4" t="s">
        <v>382</v>
      </c>
      <c r="S166" s="9" t="s">
        <v>514</v>
      </c>
    </row>
    <row r="167" spans="2:19" ht="17" x14ac:dyDescent="0.2">
      <c r="B167" s="6" t="s">
        <v>557</v>
      </c>
      <c r="C167" s="4"/>
      <c r="D167" s="4" t="str">
        <f>IF(D$115=0,"n/a",IF(D$166&gt;=Defaults!$C$6,"Pass","Fail"))</f>
        <v>Pass</v>
      </c>
      <c r="E167" s="4" t="str">
        <f>IF(E$115=0,"n/a",IF(E$166&gt;=Defaults!$C$6,"Pass","Fail"))</f>
        <v>Pass</v>
      </c>
      <c r="F167" s="4" t="str">
        <f>IF(F$115=0,"n/a",IF(F$166&gt;=Defaults!$C$6,"Pass","Fail"))</f>
        <v>Pass</v>
      </c>
      <c r="G167" s="4" t="str">
        <f>IF(G$115=0,"n/a",IF(G$166&gt;=Defaults!$C$6,"Pass","Fail"))</f>
        <v>Pass</v>
      </c>
      <c r="H167" s="4" t="str">
        <f>IF(H$115=0,"n/a",IF(H$166&gt;=Defaults!$C$6,"Pass","Fail"))</f>
        <v>Pass</v>
      </c>
      <c r="I167" s="4" t="str">
        <f>IF(I$115=0,"n/a",IF(I$166&gt;=Defaults!$C$6,"Pass","Fail"))</f>
        <v>Pass</v>
      </c>
      <c r="J167" s="4" t="str">
        <f>IF(J$115=0,"n/a",IF(J$166&gt;=Defaults!$C$6,"Pass","Fail"))</f>
        <v>Pass</v>
      </c>
      <c r="K167" s="4" t="str">
        <f>IF(K$115=0,"n/a",IF(K$166&gt;=Defaults!$C$6,"Pass","Fail"))</f>
        <v>Pass</v>
      </c>
      <c r="L167" s="4" t="str">
        <f>IF(L$115=0,"n/a",IF(L$166&gt;=Defaults!$C$6,"Pass","Fail"))</f>
        <v>Pass</v>
      </c>
      <c r="M167" s="4" t="str">
        <f>IF(M$115=0,"n/a",IF(M$166&gt;=Defaults!$C$6,"Pass","Fail"))</f>
        <v>Pass</v>
      </c>
      <c r="N167" s="61">
        <f>COUNTIF(D167:M167,"Fail")</f>
        <v>0</v>
      </c>
      <c r="R167" s="4"/>
      <c r="S167" s="9" t="s">
        <v>163</v>
      </c>
    </row>
    <row r="168" spans="2:19" ht="17" x14ac:dyDescent="0.2">
      <c r="B168" s="6" t="s">
        <v>558</v>
      </c>
      <c r="C168" s="4" t="s">
        <v>559</v>
      </c>
      <c r="D168" s="21">
        <f t="shared" ref="D168:M168" si="21">IF(D$167="Pass",MAX(0,D$165)*$D$46,0)</f>
        <v>62.817925900000063</v>
      </c>
      <c r="E168" s="21">
        <f t="shared" si="21"/>
        <v>109.9313703250001</v>
      </c>
      <c r="F168" s="21">
        <f t="shared" si="21"/>
        <v>157.04481475000014</v>
      </c>
      <c r="G168" s="21">
        <f t="shared" si="21"/>
        <v>157.04481475000014</v>
      </c>
      <c r="H168" s="21">
        <f t="shared" si="21"/>
        <v>157.04481475000014</v>
      </c>
      <c r="I168" s="21">
        <f t="shared" si="21"/>
        <v>159.59481475000015</v>
      </c>
      <c r="J168" s="21">
        <f t="shared" si="21"/>
        <v>159.59481475000015</v>
      </c>
      <c r="K168" s="21">
        <f t="shared" si="21"/>
        <v>159.59481475000015</v>
      </c>
      <c r="L168" s="21">
        <f t="shared" si="21"/>
        <v>159.59481475000015</v>
      </c>
      <c r="M168" s="21">
        <f t="shared" si="21"/>
        <v>159.59481475000015</v>
      </c>
      <c r="N168" s="52">
        <f>SUM(D168:M168)</f>
        <v>1441.8578142250012</v>
      </c>
      <c r="R168" s="4" t="s">
        <v>221</v>
      </c>
      <c r="S168" s="9" t="s">
        <v>560</v>
      </c>
    </row>
    <row r="169" spans="2:19" ht="17" x14ac:dyDescent="0.2">
      <c r="B169" s="6" t="s">
        <v>233</v>
      </c>
      <c r="C169" s="4" t="s">
        <v>561</v>
      </c>
      <c r="D169" s="21">
        <f t="shared" ref="D169:M169" si="22">IF(D$167="Pass",MAX(0,D$165)*D$132,0)</f>
        <v>7.8522407375000078</v>
      </c>
      <c r="E169" s="21">
        <f t="shared" si="22"/>
        <v>13.741421290625013</v>
      </c>
      <c r="F169" s="21">
        <f t="shared" si="22"/>
        <v>19.630601843750018</v>
      </c>
      <c r="G169" s="21">
        <f t="shared" si="22"/>
        <v>19.630601843750018</v>
      </c>
      <c r="H169" s="21">
        <f t="shared" si="22"/>
        <v>19.630601843750018</v>
      </c>
      <c r="I169" s="21">
        <f t="shared" si="22"/>
        <v>19.949351843750019</v>
      </c>
      <c r="J169" s="21">
        <f t="shared" si="22"/>
        <v>19.949351843750019</v>
      </c>
      <c r="K169" s="21">
        <f t="shared" si="22"/>
        <v>19.949351843750019</v>
      </c>
      <c r="L169" s="21">
        <f t="shared" si="22"/>
        <v>19.949351843750019</v>
      </c>
      <c r="M169" s="21">
        <f t="shared" si="22"/>
        <v>19.949351843750019</v>
      </c>
      <c r="N169" s="52">
        <f>SUM(D169:M169)</f>
        <v>180.23222677812515</v>
      </c>
      <c r="R169" s="4" t="s">
        <v>221</v>
      </c>
      <c r="S169" s="9" t="s">
        <v>562</v>
      </c>
    </row>
    <row r="170" spans="2:19" ht="17" x14ac:dyDescent="0.2">
      <c r="B170" s="6" t="s">
        <v>563</v>
      </c>
      <c r="C170" s="4" t="s">
        <v>564</v>
      </c>
      <c r="D170" s="21">
        <f t="shared" ref="D170:M170" si="23">IF(D$167="Pass",MAX(0,D$165-D$168-D$169),0)</f>
        <v>557.5090923625005</v>
      </c>
      <c r="E170" s="21">
        <f t="shared" si="23"/>
        <v>975.64091163437593</v>
      </c>
      <c r="F170" s="21">
        <f t="shared" si="23"/>
        <v>1393.7727309062511</v>
      </c>
      <c r="G170" s="21">
        <f t="shared" si="23"/>
        <v>1393.7727309062511</v>
      </c>
      <c r="H170" s="21">
        <f t="shared" si="23"/>
        <v>1393.7727309062511</v>
      </c>
      <c r="I170" s="21">
        <f t="shared" si="23"/>
        <v>1416.4039809062513</v>
      </c>
      <c r="J170" s="21">
        <f t="shared" si="23"/>
        <v>1416.4039809062513</v>
      </c>
      <c r="K170" s="21">
        <f t="shared" si="23"/>
        <v>1416.4039809062513</v>
      </c>
      <c r="L170" s="21">
        <f t="shared" si="23"/>
        <v>1416.4039809062513</v>
      </c>
      <c r="M170" s="21">
        <f t="shared" si="23"/>
        <v>1416.4039809062513</v>
      </c>
      <c r="N170" s="52">
        <f>SUM(D170:M170)</f>
        <v>12796.488101246883</v>
      </c>
      <c r="R170" s="4" t="s">
        <v>221</v>
      </c>
      <c r="S170" s="9" t="s">
        <v>565</v>
      </c>
    </row>
    <row r="171" spans="2:19" ht="30" customHeight="1" x14ac:dyDescent="0.2">
      <c r="B171" s="35" t="s">
        <v>566</v>
      </c>
      <c r="C171" s="2" t="s">
        <v>567</v>
      </c>
      <c r="D171" s="26">
        <f>IF($D$21="Track 1",MIN(Defaults!$C$46,D$170),D$170)</f>
        <v>557.5090923625005</v>
      </c>
      <c r="E171" s="26">
        <f>IF($D$21="Track 1",MIN(Defaults!$C$46,E$170),E$170)</f>
        <v>975.64091163437593</v>
      </c>
      <c r="F171" s="26">
        <f>IF($D$21="Track 1",MIN(Defaults!$C$46,F$170),F$170)</f>
        <v>1393.7727309062511</v>
      </c>
      <c r="G171" s="26">
        <f>IF($D$21="Track 1",MIN(Defaults!$C$46,G$170),G$170)</f>
        <v>1393.7727309062511</v>
      </c>
      <c r="H171" s="26">
        <f>IF($D$21="Track 1",MIN(Defaults!$C$46,H$170),H$170)</f>
        <v>1393.7727309062511</v>
      </c>
      <c r="I171" s="26">
        <f>IF($D$21="Track 1",MIN(Defaults!$C$46,I$170),I$170)</f>
        <v>1416.4039809062513</v>
      </c>
      <c r="J171" s="26">
        <f>IF($D$21="Track 1",MIN(Defaults!$C$46,J$170),J$170)</f>
        <v>1416.4039809062513</v>
      </c>
      <c r="K171" s="26">
        <f>IF($D$21="Track 1",MIN(Defaults!$C$46,K$170),K$170)</f>
        <v>1416.4039809062513</v>
      </c>
      <c r="L171" s="26">
        <f>IF($D$21="Track 1",MIN(Defaults!$C$46,L$170),L$170)</f>
        <v>1416.4039809062513</v>
      </c>
      <c r="M171" s="26">
        <f>IF($D$21="Track 1",MIN(Defaults!$C$46,M$170),M$170)</f>
        <v>1416.4039809062513</v>
      </c>
      <c r="N171" s="26">
        <f>SUM(D171:M171)</f>
        <v>12796.488101246883</v>
      </c>
      <c r="R171" s="2" t="s">
        <v>221</v>
      </c>
      <c r="S171" s="27" t="s">
        <v>568</v>
      </c>
    </row>
    <row r="172" spans="2:19" ht="30" customHeight="1" x14ac:dyDescent="0.2">
      <c r="B172" s="6" t="s">
        <v>569</v>
      </c>
      <c r="C172" s="4"/>
      <c r="D172" s="21">
        <f t="shared" ref="D172:M172" si="24">D$170-D$171</f>
        <v>0</v>
      </c>
      <c r="E172" s="21">
        <f t="shared" si="24"/>
        <v>0</v>
      </c>
      <c r="F172" s="21">
        <f t="shared" si="24"/>
        <v>0</v>
      </c>
      <c r="G172" s="21">
        <f t="shared" si="24"/>
        <v>0</v>
      </c>
      <c r="H172" s="21">
        <f t="shared" si="24"/>
        <v>0</v>
      </c>
      <c r="I172" s="21">
        <f t="shared" si="24"/>
        <v>0</v>
      </c>
      <c r="J172" s="21">
        <f t="shared" si="24"/>
        <v>0</v>
      </c>
      <c r="K172" s="21">
        <f t="shared" si="24"/>
        <v>0</v>
      </c>
      <c r="L172" s="21">
        <f t="shared" si="24"/>
        <v>0</v>
      </c>
      <c r="M172" s="21">
        <f t="shared" si="24"/>
        <v>0</v>
      </c>
      <c r="N172" s="52">
        <f>SUM(D172:M172)</f>
        <v>0</v>
      </c>
      <c r="R172" s="4" t="s">
        <v>221</v>
      </c>
      <c r="S172" s="9" t="s">
        <v>240</v>
      </c>
    </row>
  </sheetData>
  <sheetProtection password="8666" sheet="1" formatColumns="0" formatRows="0"/>
  <mergeCells count="1">
    <mergeCell ref="B3:F3"/>
  </mergeCells>
  <pageMargins left="0.75" right="0.75" top="1" bottom="1" header="0.511811023622047" footer="0.511811023622047"/>
  <pageSetup paperSize="9" orientation="portrait" horizontalDpi="300" verticalDpi="300"/>
  <extLst>
    <ext xmlns:x14="http://schemas.microsoft.com/office/spreadsheetml/2009/9/main" uri="{CCE6A557-97BC-4b89-ADB6-D9C93CAAB3DF}">
      <x14:dataValidations xmlns:xm="http://schemas.microsoft.com/office/excel/2006/main" count="18">
        <x14:dataValidation type="list" xr:uid="{00000000-0002-0000-0400-000000000000}">
          <x14:formula1>
            <xm:f>Lists!$B$2:$B$4</xm:f>
          </x14:formula1>
          <x14:formula2>
            <xm:f>0</xm:f>
          </x14:formula2>
          <xm:sqref>D21</xm:sqref>
        </x14:dataValidation>
        <x14:dataValidation type="list" xr:uid="{00000000-0002-0000-0400-000001000000}">
          <x14:formula1>
            <xm:f>Lists!$C$2:$C$4</xm:f>
          </x14:formula1>
          <x14:formula2>
            <xm:f>0</xm:f>
          </x14:formula2>
          <xm:sqref>D22</xm:sqref>
        </x14:dataValidation>
        <x14:dataValidation type="list" xr:uid="{00000000-0002-0000-0400-000002000000}">
          <x14:formula1>
            <xm:f>Lists!$D$2:$D$7</xm:f>
          </x14:formula1>
          <x14:formula2>
            <xm:f>0</xm:f>
          </x14:formula2>
          <xm:sqref>D23</xm:sqref>
        </x14:dataValidation>
        <x14:dataValidation type="list" xr:uid="{00000000-0002-0000-0400-000003000000}">
          <x14:formula1>
            <xm:f>Lists!$J$2:$J$3</xm:f>
          </x14:formula1>
          <x14:formula2>
            <xm:f>0</xm:f>
          </x14:formula2>
          <xm:sqref>D30 D90 D55</xm:sqref>
        </x14:dataValidation>
        <x14:dataValidation type="list" xr:uid="{00000000-0002-0000-0400-000004000000}">
          <x14:formula1>
            <xm:f>Lists!$P$2:$P$3</xm:f>
          </x14:formula1>
          <x14:formula2>
            <xm:f>0</xm:f>
          </x14:formula2>
          <xm:sqref>D45</xm:sqref>
        </x14:dataValidation>
        <x14:dataValidation type="list" xr:uid="{00000000-0002-0000-0400-000005000000}">
          <x14:formula1>
            <xm:f>Defaults!$B$52:$B$57</xm:f>
          </x14:formula1>
          <x14:formula2>
            <xm:f>0</xm:f>
          </x14:formula2>
          <xm:sqref>D50</xm:sqref>
        </x14:dataValidation>
        <x14:dataValidation type="list" xr:uid="{00000000-0002-0000-0400-000006000000}">
          <x14:formula1>
            <xm:f>Lists!$I$2:$I$3</xm:f>
          </x14:formula1>
          <x14:formula2>
            <xm:f>0</xm:f>
          </x14:formula2>
          <xm:sqref>D51</xm:sqref>
        </x14:dataValidation>
        <x14:dataValidation type="list" xr:uid="{00000000-0002-0000-0400-000007000000}">
          <x14:formula1>
            <xm:f>Lists!$G$2:$G$4</xm:f>
          </x14:formula1>
          <x14:formula2>
            <xm:f>0</xm:f>
          </x14:formula2>
          <xm:sqref>D54</xm:sqref>
        </x14:dataValidation>
        <x14:dataValidation type="list" xr:uid="{00000000-0002-0000-0400-000009000000}">
          <x14:formula1>
            <xm:f>Defaults!$B$74:$B$79</xm:f>
          </x14:formula1>
          <x14:formula2>
            <xm:f>0</xm:f>
          </x14:formula2>
          <xm:sqref>D56</xm:sqref>
        </x14:dataValidation>
        <x14:dataValidation type="list" xr:uid="{00000000-0002-0000-0400-00000A000000}">
          <x14:formula1>
            <xm:f>Lists!$L$2:$L$4</xm:f>
          </x14:formula1>
          <x14:formula2>
            <xm:f>0</xm:f>
          </x14:formula2>
          <xm:sqref>D58</xm:sqref>
        </x14:dataValidation>
        <x14:dataValidation type="list" xr:uid="{00000000-0002-0000-0400-00000B000000}">
          <x14:formula1>
            <xm:f>Lists!$O$2:$O$5</xm:f>
          </x14:formula1>
          <x14:formula2>
            <xm:f>0</xm:f>
          </x14:formula2>
          <xm:sqref>D61</xm:sqref>
        </x14:dataValidation>
        <x14:dataValidation type="list" xr:uid="{00000000-0002-0000-0400-00000C000000}">
          <x14:formula1>
            <xm:f>Lists!$Q$2:$Q$4</xm:f>
          </x14:formula1>
          <x14:formula2>
            <xm:f>0</xm:f>
          </x14:formula2>
          <xm:sqref>D69</xm:sqref>
        </x14:dataValidation>
        <x14:dataValidation type="list" xr:uid="{00000000-0002-0000-0400-00000D000000}">
          <x14:formula1>
            <xm:f>Lists!$K$2:$K$3</xm:f>
          </x14:formula1>
          <x14:formula2>
            <xm:f>0</xm:f>
          </x14:formula2>
          <xm:sqref>D74</xm:sqref>
        </x14:dataValidation>
        <x14:dataValidation type="list" xr:uid="{00000000-0002-0000-0400-00000E000000}">
          <x14:formula1>
            <xm:f>Lists!$E$2:$E$3</xm:f>
          </x14:formula1>
          <x14:formula2>
            <xm:f>0</xm:f>
          </x14:formula2>
          <xm:sqref>D77</xm:sqref>
        </x14:dataValidation>
        <x14:dataValidation type="list" xr:uid="{00000000-0002-0000-0400-00000F000000}">
          <x14:formula1>
            <xm:f>Lists!$F$2:$F$4</xm:f>
          </x14:formula1>
          <x14:formula2>
            <xm:f>0</xm:f>
          </x14:formula2>
          <xm:sqref>D84</xm:sqref>
        </x14:dataValidation>
        <x14:dataValidation type="list" xr:uid="{00000000-0002-0000-0400-000010000000}">
          <x14:formula1>
            <xm:f>Defaults!$B$67:$B$70</xm:f>
          </x14:formula1>
          <x14:formula2>
            <xm:f>0</xm:f>
          </x14:formula2>
          <xm:sqref>D89</xm:sqref>
        </x14:dataValidation>
        <x14:dataValidation type="list" xr:uid="{00000000-0002-0000-0400-000012000000}">
          <x14:formula1>
            <xm:f>Lists!$H$2:$H$5</xm:f>
          </x14:formula1>
          <x14:formula2>
            <xm:f>0</xm:f>
          </x14:formula2>
          <xm:sqref>D97</xm:sqref>
        </x14:dataValidation>
        <x14:dataValidation type="list" xr:uid="{00000000-0002-0000-0400-000013000000}">
          <x14:formula1>
            <xm:f>Lists!$N$2:$N$3</xm:f>
          </x14:formula1>
          <x14:formula2>
            <xm:f>0</xm:f>
          </x14:formula2>
          <xm:sqref>D104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S172"/>
  <sheetViews>
    <sheetView showGridLines="0" zoomScaleNormal="100" workbookViewId="0">
      <pane xSplit="2" ySplit="4" topLeftCell="C5" activePane="bottomRight" state="frozen"/>
      <selection pane="topRight" activeCell="C1" sqref="C1"/>
      <selection pane="bottomLeft" activeCell="A5" sqref="A5"/>
      <selection pane="bottomRight"/>
    </sheetView>
  </sheetViews>
  <sheetFormatPr baseColWidth="10" defaultColWidth="8.5" defaultRowHeight="15" x14ac:dyDescent="0.2"/>
  <cols>
    <col min="1" max="1" width="3.1640625" customWidth="1"/>
    <col min="2" max="2" width="64" customWidth="1"/>
    <col min="3" max="3" width="22" customWidth="1"/>
    <col min="4" max="14" width="13" customWidth="1"/>
    <col min="18" max="18" width="16" customWidth="1"/>
    <col min="19" max="19" width="40" customWidth="1"/>
  </cols>
  <sheetData>
    <row r="1" spans="2:6" ht="25.5" customHeight="1" x14ac:dyDescent="0.25">
      <c r="B1" s="14" t="s">
        <v>570</v>
      </c>
    </row>
    <row r="2" spans="2:6" ht="16" x14ac:dyDescent="0.2">
      <c r="B2" s="9" t="s">
        <v>212</v>
      </c>
    </row>
    <row r="3" spans="2:6" ht="109.5" customHeight="1" x14ac:dyDescent="0.2">
      <c r="B3" s="80" t="s">
        <v>571</v>
      </c>
      <c r="C3" s="80"/>
      <c r="D3" s="80"/>
      <c r="E3" s="80"/>
      <c r="F3" s="80"/>
    </row>
    <row r="5" spans="2:6" ht="16" x14ac:dyDescent="0.2">
      <c r="B5" s="10" t="s">
        <v>214</v>
      </c>
      <c r="C5" s="11"/>
      <c r="D5" s="11"/>
      <c r="E5" s="11"/>
      <c r="F5" s="11"/>
    </row>
    <row r="6" spans="2:6" ht="16" x14ac:dyDescent="0.2">
      <c r="B6" s="12" t="s">
        <v>215</v>
      </c>
      <c r="C6" s="12" t="s">
        <v>216</v>
      </c>
      <c r="D6" s="12" t="s">
        <v>217</v>
      </c>
      <c r="E6" s="12" t="s">
        <v>218</v>
      </c>
      <c r="F6" s="12" t="s">
        <v>219</v>
      </c>
    </row>
    <row r="7" spans="2:6" ht="16" x14ac:dyDescent="0.2">
      <c r="B7" s="2" t="s">
        <v>220</v>
      </c>
      <c r="C7" s="25"/>
      <c r="D7" s="26">
        <f>$N$171</f>
        <v>21310.729843050023</v>
      </c>
      <c r="E7" s="2" t="s">
        <v>221</v>
      </c>
      <c r="F7" s="27" t="s">
        <v>222</v>
      </c>
    </row>
    <row r="8" spans="2:6" ht="16" x14ac:dyDescent="0.2">
      <c r="B8" s="2" t="s">
        <v>223</v>
      </c>
      <c r="C8" s="25"/>
      <c r="D8" s="22">
        <f>IF($N$136&gt;0,$N$171/$N$136,0)</f>
        <v>1.7346951439194158</v>
      </c>
      <c r="E8" s="2" t="s">
        <v>224</v>
      </c>
      <c r="F8" s="27"/>
    </row>
    <row r="9" spans="2:6" ht="16" x14ac:dyDescent="0.2">
      <c r="B9" s="2" t="s">
        <v>225</v>
      </c>
      <c r="C9" s="25"/>
      <c r="D9" s="26">
        <f>$N$136</f>
        <v>12285</v>
      </c>
      <c r="E9" s="2" t="s">
        <v>226</v>
      </c>
      <c r="F9" s="27" t="s">
        <v>124</v>
      </c>
    </row>
    <row r="10" spans="2:6" ht="16" x14ac:dyDescent="0.2">
      <c r="B10" s="2" t="s">
        <v>227</v>
      </c>
      <c r="C10" s="25"/>
      <c r="D10" s="26">
        <f>$N$140</f>
        <v>26135.072964000028</v>
      </c>
      <c r="E10" s="2" t="s">
        <v>221</v>
      </c>
      <c r="F10" s="27" t="s">
        <v>121</v>
      </c>
    </row>
    <row r="11" spans="2:6" ht="16" x14ac:dyDescent="0.2">
      <c r="B11" s="2" t="s">
        <v>228</v>
      </c>
      <c r="C11" s="25"/>
      <c r="D11" s="26">
        <f>$N$151</f>
        <v>2012.2830000000004</v>
      </c>
      <c r="E11" s="2" t="s">
        <v>221</v>
      </c>
      <c r="F11" s="27" t="s">
        <v>134</v>
      </c>
    </row>
    <row r="12" spans="2:6" ht="16" x14ac:dyDescent="0.2">
      <c r="B12" s="2" t="s">
        <v>229</v>
      </c>
      <c r="C12" s="25"/>
      <c r="D12" s="26">
        <f>$N$159</f>
        <v>110.7</v>
      </c>
      <c r="E12" s="2" t="s">
        <v>221</v>
      </c>
      <c r="F12" s="27" t="s">
        <v>230</v>
      </c>
    </row>
    <row r="13" spans="2:6" ht="16" x14ac:dyDescent="0.2">
      <c r="B13" s="2" t="s">
        <v>231</v>
      </c>
      <c r="C13" s="25"/>
      <c r="D13" s="26">
        <f>$N$168</f>
        <v>2401.2089964000024</v>
      </c>
      <c r="E13" s="2" t="s">
        <v>221</v>
      </c>
      <c r="F13" s="27" t="s">
        <v>232</v>
      </c>
    </row>
    <row r="14" spans="2:6" ht="16" x14ac:dyDescent="0.2">
      <c r="B14" s="2" t="s">
        <v>233</v>
      </c>
      <c r="C14" s="25"/>
      <c r="D14" s="26">
        <f>$N$169</f>
        <v>300.1511245500003</v>
      </c>
      <c r="E14" s="2" t="s">
        <v>221</v>
      </c>
      <c r="F14" s="27" t="s">
        <v>234</v>
      </c>
    </row>
    <row r="15" spans="2:6" ht="16" x14ac:dyDescent="0.2">
      <c r="B15" s="2" t="s">
        <v>235</v>
      </c>
      <c r="C15" s="25"/>
      <c r="D15" s="28">
        <f>$N$167</f>
        <v>0</v>
      </c>
      <c r="E15" s="2" t="s">
        <v>236</v>
      </c>
      <c r="F15" s="27" t="s">
        <v>163</v>
      </c>
    </row>
    <row r="16" spans="2:6" ht="16" x14ac:dyDescent="0.2">
      <c r="B16" s="2" t="s">
        <v>237</v>
      </c>
      <c r="C16" s="25"/>
      <c r="D16" s="28">
        <f>COUNTIF(D165:M165,"&lt;0")</f>
        <v>0</v>
      </c>
      <c r="E16" s="2" t="s">
        <v>236</v>
      </c>
      <c r="F16" s="27" t="s">
        <v>238</v>
      </c>
    </row>
    <row r="17" spans="2:6" ht="16" x14ac:dyDescent="0.2">
      <c r="B17" s="2" t="s">
        <v>239</v>
      </c>
      <c r="C17" s="25"/>
      <c r="D17" s="26">
        <f>$N$172</f>
        <v>0</v>
      </c>
      <c r="E17" s="2" t="s">
        <v>221</v>
      </c>
      <c r="F17" s="27" t="s">
        <v>240</v>
      </c>
    </row>
    <row r="18" spans="2:6" ht="16" x14ac:dyDescent="0.2">
      <c r="B18" s="2" t="s">
        <v>241</v>
      </c>
      <c r="C18" s="25"/>
      <c r="D18" s="29" t="str">
        <f>IF(AND($D$83&lt;&gt;"Not creditable under Method 1 (H:Corg above 0.50)",$D$83&lt;&gt;"Track 1 default-route limit 0.40 exceeded — test the batch",$D$60&lt;&gt;"Below the 70% floor — residue not eligible",$D$93&lt;&gt;"Above the 50 t/ha cap",COUNTIF(D138:M138,"Above ceiling")=0,$D$110="OK"),"OK","Check Parts A to F: "&amp;$D$83&amp;"; "&amp;$D$60&amp;"; "&amp;$D$93&amp;"; mass-balance flags "&amp;COUNTIF(D138:M138,"Above ceiling")&amp;"; "&amp;$D$110)</f>
        <v>OK</v>
      </c>
      <c r="E18" s="2"/>
      <c r="F18" s="27"/>
    </row>
    <row r="19" spans="2:6" ht="16" x14ac:dyDescent="0.2">
      <c r="B19" s="10" t="s">
        <v>242</v>
      </c>
      <c r="C19" s="11"/>
      <c r="D19" s="11"/>
      <c r="E19" s="11"/>
      <c r="F19" s="11"/>
    </row>
    <row r="20" spans="2:6" ht="16" x14ac:dyDescent="0.2">
      <c r="B20" s="12" t="s">
        <v>215</v>
      </c>
      <c r="C20" s="12" t="s">
        <v>216</v>
      </c>
      <c r="D20" s="12" t="s">
        <v>217</v>
      </c>
      <c r="E20" s="12" t="s">
        <v>218</v>
      </c>
      <c r="F20" s="12" t="s">
        <v>219</v>
      </c>
    </row>
    <row r="21" spans="2:6" ht="51" x14ac:dyDescent="0.2">
      <c r="B21" s="6" t="s">
        <v>243</v>
      </c>
      <c r="C21" s="4"/>
      <c r="D21" s="30" t="s">
        <v>244</v>
      </c>
      <c r="E21" s="4"/>
      <c r="F21" s="1" t="s">
        <v>245</v>
      </c>
    </row>
    <row r="22" spans="2:6" ht="17" x14ac:dyDescent="0.2">
      <c r="B22" s="6" t="s">
        <v>179</v>
      </c>
      <c r="C22" s="4"/>
      <c r="D22" s="30" t="s">
        <v>246</v>
      </c>
      <c r="E22" s="4"/>
      <c r="F22" s="1" t="s">
        <v>247</v>
      </c>
    </row>
    <row r="23" spans="2:6" ht="17" x14ac:dyDescent="0.2">
      <c r="B23" s="6" t="s">
        <v>180</v>
      </c>
      <c r="C23" s="4"/>
      <c r="D23" s="30" t="s">
        <v>248</v>
      </c>
      <c r="E23" s="4"/>
      <c r="F23" s="1" t="s">
        <v>249</v>
      </c>
    </row>
    <row r="24" spans="2:6" ht="17" x14ac:dyDescent="0.2">
      <c r="B24" s="6" t="s">
        <v>250</v>
      </c>
      <c r="C24" s="4"/>
      <c r="D24" s="30" t="s">
        <v>251</v>
      </c>
      <c r="E24" s="4"/>
      <c r="F24" s="1" t="s">
        <v>240</v>
      </c>
    </row>
    <row r="25" spans="2:6" ht="30" customHeight="1" x14ac:dyDescent="0.2">
      <c r="B25" s="6" t="s">
        <v>252</v>
      </c>
      <c r="C25" s="4"/>
      <c r="D25" s="30">
        <v>5</v>
      </c>
      <c r="E25" s="4" t="s">
        <v>253</v>
      </c>
      <c r="F25" s="1" t="s">
        <v>254</v>
      </c>
    </row>
    <row r="26" spans="2:6" ht="45" customHeight="1" x14ac:dyDescent="0.2">
      <c r="B26" s="6" t="s">
        <v>255</v>
      </c>
      <c r="C26" s="4" t="s">
        <v>256</v>
      </c>
      <c r="D26" s="30">
        <v>20</v>
      </c>
      <c r="E26" s="4" t="s">
        <v>257</v>
      </c>
      <c r="F26" s="1" t="s">
        <v>258</v>
      </c>
    </row>
    <row r="27" spans="2:6" ht="30" customHeight="1" x14ac:dyDescent="0.2">
      <c r="B27" s="6" t="s">
        <v>259</v>
      </c>
      <c r="C27" s="4" t="s">
        <v>256</v>
      </c>
      <c r="D27" s="4">
        <f>ROUND(MIN(Defaults!$C$16,MAX(Defaults!$C$15,CEILING(IF(ISNUMBER($D$26),$D$26,Defaults!$C$14),1))),0)</f>
        <v>20</v>
      </c>
      <c r="E27" s="4" t="s">
        <v>257</v>
      </c>
      <c r="F27" s="1" t="s">
        <v>260</v>
      </c>
    </row>
    <row r="28" spans="2:6" ht="45" customHeight="1" x14ac:dyDescent="0.2">
      <c r="B28" s="6" t="s">
        <v>261</v>
      </c>
      <c r="C28" s="4" t="s">
        <v>262</v>
      </c>
      <c r="D28" s="31">
        <f>Defaults!$C$47</f>
        <v>1.2500000000000001E-2</v>
      </c>
      <c r="E28" s="4" t="s">
        <v>263</v>
      </c>
      <c r="F28" s="1" t="s">
        <v>264</v>
      </c>
    </row>
    <row r="29" spans="2:6" ht="17" x14ac:dyDescent="0.2">
      <c r="B29" s="6" t="s">
        <v>265</v>
      </c>
      <c r="C29" s="4" t="s">
        <v>266</v>
      </c>
      <c r="D29" s="3">
        <f>Defaults!$C$4</f>
        <v>28</v>
      </c>
      <c r="E29" s="4" t="s">
        <v>267</v>
      </c>
      <c r="F29" s="1" t="s">
        <v>268</v>
      </c>
    </row>
    <row r="30" spans="2:6" ht="45" customHeight="1" x14ac:dyDescent="0.2">
      <c r="B30" s="6" t="s">
        <v>269</v>
      </c>
      <c r="C30" s="4"/>
      <c r="D30" s="30" t="s">
        <v>270</v>
      </c>
      <c r="E30" s="4"/>
      <c r="F30" s="1" t="s">
        <v>271</v>
      </c>
    </row>
    <row r="31" spans="2:6" ht="30" customHeight="1" x14ac:dyDescent="0.2">
      <c r="B31" s="6" t="s">
        <v>272</v>
      </c>
      <c r="C31" s="4" t="s">
        <v>273</v>
      </c>
      <c r="D31" s="32">
        <v>0</v>
      </c>
      <c r="E31" s="4" t="s">
        <v>263</v>
      </c>
      <c r="F31" s="1" t="s">
        <v>274</v>
      </c>
    </row>
    <row r="32" spans="2:6" ht="51" x14ac:dyDescent="0.2">
      <c r="B32" s="6" t="s">
        <v>275</v>
      </c>
      <c r="C32" s="4" t="s">
        <v>276</v>
      </c>
      <c r="D32" s="32">
        <v>0</v>
      </c>
      <c r="E32" s="4" t="s">
        <v>263</v>
      </c>
      <c r="F32" s="1" t="s">
        <v>277</v>
      </c>
    </row>
    <row r="33" spans="2:6" ht="30" customHeight="1" x14ac:dyDescent="0.2">
      <c r="B33" s="6" t="s">
        <v>278</v>
      </c>
      <c r="C33" s="4" t="s">
        <v>279</v>
      </c>
      <c r="D33" s="32">
        <v>0</v>
      </c>
      <c r="E33" s="4" t="s">
        <v>263</v>
      </c>
      <c r="F33" s="1" t="s">
        <v>280</v>
      </c>
    </row>
    <row r="34" spans="2:6" ht="17" x14ac:dyDescent="0.2">
      <c r="B34" s="6" t="s">
        <v>281</v>
      </c>
      <c r="C34" s="4" t="s">
        <v>282</v>
      </c>
      <c r="D34" s="20">
        <f>SQRT($D$31^2+$D$32^2+$D$33^2)</f>
        <v>0</v>
      </c>
      <c r="E34" s="4" t="s">
        <v>263</v>
      </c>
      <c r="F34" s="1" t="s">
        <v>283</v>
      </c>
    </row>
    <row r="35" spans="2:6" ht="30" customHeight="1" x14ac:dyDescent="0.2">
      <c r="B35" s="6" t="s">
        <v>284</v>
      </c>
      <c r="C35" s="4" t="s">
        <v>282</v>
      </c>
      <c r="D35" s="32">
        <v>0</v>
      </c>
      <c r="E35" s="4" t="s">
        <v>263</v>
      </c>
      <c r="F35" s="1" t="s">
        <v>285</v>
      </c>
    </row>
    <row r="36" spans="2:6" ht="51" x14ac:dyDescent="0.2">
      <c r="B36" s="6" t="s">
        <v>286</v>
      </c>
      <c r="C36" s="4" t="s">
        <v>287</v>
      </c>
      <c r="D36" s="20">
        <f>IF($D$21="Track 1",Defaults!$C$7,IF($D$21="Track 2",IF($D$30="Yes",MAX(0,$D$34-Defaults!$C$9),Defaults!$C$8),MAX(0,$D$34-Defaults!$C$9)))</f>
        <v>0.05</v>
      </c>
      <c r="E36" s="4" t="s">
        <v>263</v>
      </c>
      <c r="F36" s="1" t="s">
        <v>288</v>
      </c>
    </row>
    <row r="37" spans="2:6" ht="34" x14ac:dyDescent="0.2">
      <c r="B37" s="6" t="s">
        <v>289</v>
      </c>
      <c r="C37" s="4" t="s">
        <v>290</v>
      </c>
      <c r="D37" s="20">
        <f>IF($D$21="Track 1",Defaults!$C$7,IF($D$21="Track 2",Defaults!$C$8,MAX(0,$D$35-Defaults!$C$10)))</f>
        <v>0.05</v>
      </c>
      <c r="E37" s="4" t="s">
        <v>263</v>
      </c>
      <c r="F37" s="1" t="s">
        <v>291</v>
      </c>
    </row>
    <row r="38" spans="2:6" ht="30" customHeight="1" x14ac:dyDescent="0.2">
      <c r="B38" s="6" t="s">
        <v>292</v>
      </c>
      <c r="C38" s="4" t="s">
        <v>293</v>
      </c>
      <c r="D38" s="33">
        <v>0</v>
      </c>
      <c r="E38" s="4" t="s">
        <v>263</v>
      </c>
      <c r="F38" s="1" t="s">
        <v>294</v>
      </c>
    </row>
    <row r="40" spans="2:6" ht="16" x14ac:dyDescent="0.2">
      <c r="B40" s="10" t="s">
        <v>295</v>
      </c>
      <c r="C40" s="11"/>
      <c r="D40" s="11"/>
      <c r="E40" s="11"/>
      <c r="F40" s="11"/>
    </row>
    <row r="41" spans="2:6" ht="16" x14ac:dyDescent="0.2">
      <c r="B41" s="12" t="s">
        <v>215</v>
      </c>
      <c r="C41" s="12" t="s">
        <v>216</v>
      </c>
      <c r="D41" s="12" t="s">
        <v>217</v>
      </c>
      <c r="E41" s="12" t="s">
        <v>218</v>
      </c>
      <c r="F41" s="12" t="s">
        <v>219</v>
      </c>
    </row>
    <row r="42" spans="2:6" ht="30" customHeight="1" x14ac:dyDescent="0.2">
      <c r="B42" s="6" t="s">
        <v>296</v>
      </c>
      <c r="C42" s="4"/>
      <c r="D42" s="34">
        <f>'Annex 7'!E20</f>
        <v>0</v>
      </c>
      <c r="E42" s="4" t="s">
        <v>263</v>
      </c>
      <c r="F42" s="1" t="s">
        <v>297</v>
      </c>
    </row>
    <row r="43" spans="2:6" ht="30" customHeight="1" x14ac:dyDescent="0.2">
      <c r="B43" s="6" t="s">
        <v>298</v>
      </c>
      <c r="C43" s="4"/>
      <c r="D43" s="34">
        <f>'Annex 7'!E21</f>
        <v>0</v>
      </c>
      <c r="E43" s="4" t="s">
        <v>263</v>
      </c>
      <c r="F43" s="1" t="s">
        <v>299</v>
      </c>
    </row>
    <row r="44" spans="2:6" ht="30" customHeight="1" x14ac:dyDescent="0.2">
      <c r="B44" s="6" t="s">
        <v>300</v>
      </c>
      <c r="C44" s="4" t="s">
        <v>301</v>
      </c>
      <c r="D44" s="34">
        <f>'Annex 7'!E23</f>
        <v>7.4999999999999997E-2</v>
      </c>
      <c r="E44" s="4" t="s">
        <v>263</v>
      </c>
      <c r="F44" s="1" t="s">
        <v>302</v>
      </c>
    </row>
    <row r="45" spans="2:6" ht="45" customHeight="1" x14ac:dyDescent="0.2">
      <c r="B45" s="6" t="s">
        <v>303</v>
      </c>
      <c r="C45" s="4"/>
      <c r="D45" s="30" t="s">
        <v>304</v>
      </c>
      <c r="E45" s="4"/>
      <c r="F45" s="1" t="s">
        <v>305</v>
      </c>
    </row>
    <row r="46" spans="2:6" ht="45" customHeight="1" x14ac:dyDescent="0.2">
      <c r="B46" s="35" t="s">
        <v>187</v>
      </c>
      <c r="C46" s="2" t="s">
        <v>301</v>
      </c>
      <c r="D46" s="24">
        <f>IF(LEFT($D$22,2)="A2",Defaults!$C$28,IF(LEFT($D$22,2)="A3",Defaults!$C$29,IF(OR($D$21="Track 1",AND($D$21="Track 2",LEFT($D$45,12)="Cancellation")),Defaults!$C$27,$D$44)))</f>
        <v>0.1</v>
      </c>
      <c r="E46" s="2" t="s">
        <v>263</v>
      </c>
      <c r="F46" s="36" t="s">
        <v>306</v>
      </c>
    </row>
    <row r="48" spans="2:6" ht="16" x14ac:dyDescent="0.2">
      <c r="B48" s="10" t="s">
        <v>307</v>
      </c>
      <c r="C48" s="11"/>
      <c r="D48" s="11"/>
      <c r="E48" s="11"/>
      <c r="F48" s="11"/>
    </row>
    <row r="49" spans="2:6" ht="16" x14ac:dyDescent="0.2">
      <c r="B49" s="12" t="s">
        <v>215</v>
      </c>
      <c r="C49" s="12" t="s">
        <v>216</v>
      </c>
      <c r="D49" s="12" t="s">
        <v>217</v>
      </c>
      <c r="E49" s="12" t="s">
        <v>218</v>
      </c>
      <c r="F49" s="12" t="s">
        <v>219</v>
      </c>
    </row>
    <row r="50" spans="2:6" ht="17" x14ac:dyDescent="0.2">
      <c r="B50" s="6" t="s">
        <v>308</v>
      </c>
      <c r="C50" s="4"/>
      <c r="D50" s="30" t="s">
        <v>309</v>
      </c>
      <c r="E50" s="4"/>
      <c r="F50" s="1" t="s">
        <v>310</v>
      </c>
    </row>
    <row r="51" spans="2:6" ht="30" customHeight="1" x14ac:dyDescent="0.2">
      <c r="B51" s="6" t="s">
        <v>311</v>
      </c>
      <c r="C51" s="4"/>
      <c r="D51" s="30" t="s">
        <v>312</v>
      </c>
      <c r="E51" s="4"/>
      <c r="F51" s="1" t="s">
        <v>313</v>
      </c>
    </row>
    <row r="52" spans="2:6" ht="34" x14ac:dyDescent="0.2">
      <c r="B52" s="6" t="s">
        <v>314</v>
      </c>
      <c r="C52" s="4" t="s">
        <v>315</v>
      </c>
      <c r="D52" s="37">
        <f>INDEX(Defaults!$D$52:$D$57,MATCH($D$50,Defaults!$B$52:$B$57,0))</f>
        <v>0.15</v>
      </c>
      <c r="E52" s="4" t="s">
        <v>316</v>
      </c>
      <c r="F52" s="1" t="s">
        <v>317</v>
      </c>
    </row>
    <row r="53" spans="2:6" ht="30" customHeight="1" x14ac:dyDescent="0.2">
      <c r="B53" s="6" t="s">
        <v>318</v>
      </c>
      <c r="C53" s="4" t="s">
        <v>319</v>
      </c>
      <c r="D53" s="37">
        <f>INDEX(Defaults!$E$52:$E$57,MATCH($D$50,Defaults!$B$52:$B$57,0))</f>
        <v>0.32</v>
      </c>
      <c r="E53" s="4" t="s">
        <v>320</v>
      </c>
      <c r="F53" s="1" t="s">
        <v>317</v>
      </c>
    </row>
    <row r="54" spans="2:6" ht="51" x14ac:dyDescent="0.2">
      <c r="B54" s="6" t="s">
        <v>321</v>
      </c>
      <c r="C54" s="4"/>
      <c r="D54" s="30" t="s">
        <v>322</v>
      </c>
      <c r="E54" s="4"/>
      <c r="F54" s="1" t="s">
        <v>323</v>
      </c>
    </row>
    <row r="55" spans="2:6" ht="34" x14ac:dyDescent="0.2">
      <c r="B55" s="6" t="s">
        <v>324</v>
      </c>
      <c r="C55" s="4"/>
      <c r="D55" s="30" t="s">
        <v>325</v>
      </c>
      <c r="E55" s="4"/>
      <c r="F55" s="1" t="s">
        <v>326</v>
      </c>
    </row>
    <row r="56" spans="2:6" ht="51" x14ac:dyDescent="0.2">
      <c r="B56" s="6" t="s">
        <v>327</v>
      </c>
      <c r="C56" s="4"/>
      <c r="D56" s="30" t="s">
        <v>328</v>
      </c>
      <c r="E56" s="4"/>
      <c r="F56" s="1" t="s">
        <v>329</v>
      </c>
    </row>
    <row r="57" spans="2:6" ht="30" customHeight="1" x14ac:dyDescent="0.2">
      <c r="B57" s="6" t="s">
        <v>330</v>
      </c>
      <c r="C57" s="4" t="s">
        <v>331</v>
      </c>
      <c r="D57" s="38">
        <v>0</v>
      </c>
      <c r="E57" s="4" t="s">
        <v>332</v>
      </c>
      <c r="F57" s="1" t="s">
        <v>333</v>
      </c>
    </row>
    <row r="58" spans="2:6" ht="45" customHeight="1" x14ac:dyDescent="0.2">
      <c r="B58" s="6" t="s">
        <v>334</v>
      </c>
      <c r="C58" s="4"/>
      <c r="D58" s="30" t="s">
        <v>335</v>
      </c>
      <c r="E58" s="4"/>
      <c r="F58" s="1" t="s">
        <v>336</v>
      </c>
    </row>
    <row r="59" spans="2:6" ht="30" customHeight="1" x14ac:dyDescent="0.2">
      <c r="B59" s="6" t="s">
        <v>337</v>
      </c>
      <c r="C59" s="4"/>
      <c r="D59" s="33">
        <v>0.7</v>
      </c>
      <c r="E59" s="4" t="s">
        <v>263</v>
      </c>
      <c r="F59" s="1" t="s">
        <v>338</v>
      </c>
    </row>
    <row r="60" spans="2:6" ht="34" x14ac:dyDescent="0.2">
      <c r="B60" s="6" t="s">
        <v>339</v>
      </c>
      <c r="C60" s="4"/>
      <c r="D60" s="4" t="str">
        <f>IF(LEFT($D$23,2)="F1",IF($D$59&lt;Defaults!$C$45,"Below the 70% floor — residue not eligible","OK"),"n/a")</f>
        <v>n/a</v>
      </c>
      <c r="E60" s="4"/>
      <c r="F60" s="1" t="s">
        <v>340</v>
      </c>
    </row>
    <row r="61" spans="2:6" ht="68" x14ac:dyDescent="0.2">
      <c r="B61" s="6" t="s">
        <v>341</v>
      </c>
      <c r="C61" s="4"/>
      <c r="D61" s="30" t="s">
        <v>342</v>
      </c>
      <c r="E61" s="4"/>
      <c r="F61" s="1" t="s">
        <v>343</v>
      </c>
    </row>
    <row r="62" spans="2:6" ht="34" x14ac:dyDescent="0.2">
      <c r="B62" s="6" t="s">
        <v>344</v>
      </c>
      <c r="C62" s="4" t="s">
        <v>345</v>
      </c>
      <c r="D62" s="39">
        <v>0</v>
      </c>
      <c r="E62" s="4" t="s">
        <v>346</v>
      </c>
      <c r="F62" s="1" t="s">
        <v>347</v>
      </c>
    </row>
    <row r="63" spans="2:6" ht="34" x14ac:dyDescent="0.2">
      <c r="B63" s="6" t="s">
        <v>348</v>
      </c>
      <c r="C63" s="4" t="s">
        <v>349</v>
      </c>
      <c r="D63" s="40">
        <v>0</v>
      </c>
      <c r="E63" s="4" t="s">
        <v>350</v>
      </c>
      <c r="F63" s="1" t="s">
        <v>347</v>
      </c>
    </row>
    <row r="64" spans="2:6" ht="34" x14ac:dyDescent="0.2">
      <c r="B64" s="6" t="s">
        <v>351</v>
      </c>
      <c r="C64" s="4" t="s">
        <v>352</v>
      </c>
      <c r="D64" s="40">
        <v>0</v>
      </c>
      <c r="E64" s="4" t="s">
        <v>350</v>
      </c>
      <c r="F64" s="1" t="s">
        <v>347</v>
      </c>
    </row>
    <row r="65" spans="2:6" ht="17" x14ac:dyDescent="0.2">
      <c r="B65" s="6" t="s">
        <v>353</v>
      </c>
      <c r="C65" s="4" t="s">
        <v>345</v>
      </c>
      <c r="D65" s="41">
        <f>IF(LEFT($D$61,8)="Measured",$D$62,IF(RIGHT($D$61,6)="stover",Defaults!$C$34,IF(RIGHT($D$61,8)="residues",Defaults!$C$37,Defaults!$C$40)))</f>
        <v>8.0000000000000002E-3</v>
      </c>
      <c r="E65" s="4" t="s">
        <v>346</v>
      </c>
      <c r="F65" s="1" t="s">
        <v>154</v>
      </c>
    </row>
    <row r="66" spans="2:6" ht="17" x14ac:dyDescent="0.2">
      <c r="B66" s="6" t="s">
        <v>354</v>
      </c>
      <c r="C66" s="4" t="s">
        <v>349</v>
      </c>
      <c r="D66" s="42">
        <f>IF(LEFT($D$61,8)="Measured",$D$63,IF(RIGHT($D$61,6)="stover",Defaults!$C$35,IF(RIGHT($D$61,8)="residues",Defaults!$C$38,Defaults!$C$41)))</f>
        <v>3.0000000000000001E-3</v>
      </c>
      <c r="E66" s="4" t="s">
        <v>350</v>
      </c>
      <c r="F66" s="1" t="s">
        <v>154</v>
      </c>
    </row>
    <row r="67" spans="2:6" ht="17" x14ac:dyDescent="0.2">
      <c r="B67" s="6" t="s">
        <v>355</v>
      </c>
      <c r="C67" s="4" t="s">
        <v>352</v>
      </c>
      <c r="D67" s="42">
        <f>IF(LEFT($D$61,8)="Measured",$D$64,IF(RIGHT($D$61,6)="stover",Defaults!$C$36,IF(RIGHT($D$61,8)="residues",Defaults!$C$39,Defaults!$C$42)))</f>
        <v>1.4999999999999999E-2</v>
      </c>
      <c r="E67" s="4" t="s">
        <v>350</v>
      </c>
      <c r="F67" s="1" t="s">
        <v>154</v>
      </c>
    </row>
    <row r="68" spans="2:6" ht="30" customHeight="1" x14ac:dyDescent="0.2">
      <c r="B68" s="6" t="s">
        <v>356</v>
      </c>
      <c r="C68" s="4"/>
      <c r="D68" s="33">
        <v>0</v>
      </c>
      <c r="E68" s="4" t="s">
        <v>263</v>
      </c>
      <c r="F68" s="1" t="s">
        <v>357</v>
      </c>
    </row>
    <row r="69" spans="2:6" ht="45" customHeight="1" x14ac:dyDescent="0.2">
      <c r="B69" s="6" t="s">
        <v>358</v>
      </c>
      <c r="C69" s="4"/>
      <c r="D69" s="30" t="s">
        <v>359</v>
      </c>
      <c r="E69" s="4"/>
      <c r="F69" s="1" t="s">
        <v>360</v>
      </c>
    </row>
    <row r="70" spans="2:6" ht="17" x14ac:dyDescent="0.2">
      <c r="B70" s="6" t="s">
        <v>361</v>
      </c>
      <c r="C70" s="4" t="s">
        <v>362</v>
      </c>
      <c r="D70" s="38">
        <v>0.45</v>
      </c>
      <c r="E70" s="4" t="s">
        <v>363</v>
      </c>
      <c r="F70" s="1" t="s">
        <v>137</v>
      </c>
    </row>
    <row r="72" spans="2:6" ht="16" x14ac:dyDescent="0.2">
      <c r="B72" s="10" t="s">
        <v>364</v>
      </c>
      <c r="C72" s="11"/>
      <c r="D72" s="11"/>
      <c r="E72" s="11"/>
      <c r="F72" s="11"/>
    </row>
    <row r="73" spans="2:6" ht="16" x14ac:dyDescent="0.2">
      <c r="B73" s="12" t="s">
        <v>215</v>
      </c>
      <c r="C73" s="12" t="s">
        <v>216</v>
      </c>
      <c r="D73" s="12" t="s">
        <v>217</v>
      </c>
      <c r="E73" s="12" t="s">
        <v>218</v>
      </c>
      <c r="F73" s="12" t="s">
        <v>219</v>
      </c>
    </row>
    <row r="74" spans="2:6" ht="45" customHeight="1" x14ac:dyDescent="0.2">
      <c r="B74" s="6" t="s">
        <v>365</v>
      </c>
      <c r="C74" s="4"/>
      <c r="D74" s="30" t="s">
        <v>572</v>
      </c>
      <c r="E74" s="4"/>
      <c r="F74" s="1" t="s">
        <v>367</v>
      </c>
    </row>
    <row r="75" spans="2:6" ht="30" customHeight="1" x14ac:dyDescent="0.2">
      <c r="B75" s="6" t="s">
        <v>368</v>
      </c>
      <c r="C75" s="4" t="s">
        <v>369</v>
      </c>
      <c r="D75" s="32">
        <v>0.1</v>
      </c>
      <c r="E75" s="4" t="s">
        <v>263</v>
      </c>
      <c r="F75" s="1" t="s">
        <v>370</v>
      </c>
    </row>
    <row r="76" spans="2:6" ht="17" x14ac:dyDescent="0.2">
      <c r="B76" s="6" t="s">
        <v>371</v>
      </c>
      <c r="C76" s="4" t="s">
        <v>369</v>
      </c>
      <c r="D76" s="20">
        <f>IF($D$74="Measured",$D$75,Defaults!$C$23)</f>
        <v>0.1</v>
      </c>
      <c r="E76" s="4" t="s">
        <v>263</v>
      </c>
      <c r="F76" s="1" t="s">
        <v>124</v>
      </c>
    </row>
    <row r="77" spans="2:6" ht="17" x14ac:dyDescent="0.2">
      <c r="B77" s="6" t="s">
        <v>372</v>
      </c>
      <c r="C77" s="4"/>
      <c r="D77" s="30" t="s">
        <v>573</v>
      </c>
      <c r="E77" s="4"/>
      <c r="F77" s="1" t="s">
        <v>374</v>
      </c>
    </row>
    <row r="78" spans="2:6" ht="30" customHeight="1" x14ac:dyDescent="0.2">
      <c r="B78" s="6" t="s">
        <v>375</v>
      </c>
      <c r="C78" s="4" t="s">
        <v>376</v>
      </c>
      <c r="D78" s="39">
        <v>0.76</v>
      </c>
      <c r="E78" s="4" t="s">
        <v>363</v>
      </c>
      <c r="F78" s="1" t="s">
        <v>377</v>
      </c>
    </row>
    <row r="79" spans="2:6" ht="34" x14ac:dyDescent="0.2">
      <c r="B79" s="6" t="s">
        <v>378</v>
      </c>
      <c r="C79" s="4" t="s">
        <v>376</v>
      </c>
      <c r="D79" s="37">
        <f>INDEX(Defaults!$C$52:$C$57,MATCH($D$50,Defaults!$B$52:$B$57,0))</f>
        <v>0.55000000000000004</v>
      </c>
      <c r="E79" s="4" t="s">
        <v>363</v>
      </c>
      <c r="F79" s="1" t="s">
        <v>379</v>
      </c>
    </row>
    <row r="80" spans="2:6" ht="17" x14ac:dyDescent="0.2">
      <c r="B80" s="6" t="s">
        <v>181</v>
      </c>
      <c r="C80" s="4" t="s">
        <v>376</v>
      </c>
      <c r="D80" s="16">
        <f>IF($D$77="Default (Table 21)",$D$79,$D$78)</f>
        <v>0.76</v>
      </c>
      <c r="E80" s="4" t="s">
        <v>363</v>
      </c>
      <c r="F80" s="1" t="s">
        <v>374</v>
      </c>
    </row>
    <row r="81" spans="2:6" ht="30" customHeight="1" x14ac:dyDescent="0.2">
      <c r="B81" s="6" t="s">
        <v>380</v>
      </c>
      <c r="C81" s="4" t="s">
        <v>381</v>
      </c>
      <c r="D81" s="38">
        <v>0.28000000000000003</v>
      </c>
      <c r="E81" s="4" t="s">
        <v>382</v>
      </c>
      <c r="F81" s="1" t="s">
        <v>383</v>
      </c>
    </row>
    <row r="82" spans="2:6" ht="17" x14ac:dyDescent="0.2">
      <c r="B82" s="6" t="s">
        <v>384</v>
      </c>
      <c r="C82" s="4" t="s">
        <v>381</v>
      </c>
      <c r="D82" s="17">
        <f>IF(ISNUMBER($D$81),$D$81,Defaults!$C$17)</f>
        <v>0.28000000000000003</v>
      </c>
      <c r="E82" s="4" t="s">
        <v>382</v>
      </c>
      <c r="F82" s="1" t="s">
        <v>130</v>
      </c>
    </row>
    <row r="83" spans="2:6" ht="17" x14ac:dyDescent="0.2">
      <c r="B83" s="6" t="s">
        <v>385</v>
      </c>
      <c r="C83" s="4"/>
      <c r="D83" s="4" t="str">
        <f>IF(LEFT($D$84,8)="Method 3","Not applicable (Method 3)",IF($D$82&gt;Defaults!$C$18,"Not creditable under Method 1 (H:Corg above 0.50)",IF(AND($D$21="Track 1",$D$82&gt;Defaults!$C$17),"Track 1 default-route limit 0.40 exceeded — test the batch","Eligible")))</f>
        <v>Eligible</v>
      </c>
      <c r="E83" s="4"/>
      <c r="F83" s="1" t="s">
        <v>240</v>
      </c>
    </row>
    <row r="84" spans="2:6" ht="17" x14ac:dyDescent="0.2">
      <c r="B84" s="6" t="s">
        <v>386</v>
      </c>
      <c r="C84" s="4"/>
      <c r="D84" s="30" t="s">
        <v>387</v>
      </c>
      <c r="E84" s="4"/>
      <c r="F84" s="1" t="s">
        <v>130</v>
      </c>
    </row>
    <row r="85" spans="2:6" ht="17" x14ac:dyDescent="0.2">
      <c r="B85" s="6" t="s">
        <v>388</v>
      </c>
      <c r="C85" s="4"/>
      <c r="D85" s="17">
        <f>ROUND(MIN(0.5,MAX(0.2,CEILING($D$82,0.05))),2)</f>
        <v>0.3</v>
      </c>
      <c r="E85" s="4" t="s">
        <v>382</v>
      </c>
      <c r="F85" s="1" t="s">
        <v>389</v>
      </c>
    </row>
    <row r="86" spans="2:6" ht="30" customHeight="1" x14ac:dyDescent="0.2">
      <c r="B86" s="6" t="s">
        <v>390</v>
      </c>
      <c r="C86" s="4" t="s">
        <v>391</v>
      </c>
      <c r="D86" s="41">
        <f>INDEX(Defaults!$C$121:$I$154,MATCH($D$27,Defaults!$B$121:$B$154,0),MATCH($D$85,Defaults!$C$120:$I$120,0))</f>
        <v>0.82</v>
      </c>
      <c r="E86" s="4" t="s">
        <v>263</v>
      </c>
      <c r="F86" s="1" t="s">
        <v>392</v>
      </c>
    </row>
    <row r="87" spans="2:6" ht="30" customHeight="1" x14ac:dyDescent="0.2">
      <c r="B87" s="6" t="s">
        <v>393</v>
      </c>
      <c r="C87" s="4" t="s">
        <v>391</v>
      </c>
      <c r="D87" s="39">
        <v>0</v>
      </c>
      <c r="E87" s="4" t="s">
        <v>263</v>
      </c>
      <c r="F87" s="1" t="s">
        <v>394</v>
      </c>
    </row>
    <row r="88" spans="2:6" ht="17" x14ac:dyDescent="0.2">
      <c r="B88" s="35" t="s">
        <v>184</v>
      </c>
      <c r="C88" s="2" t="s">
        <v>391</v>
      </c>
      <c r="D88" s="43">
        <f>IF(LEFT($D$84,8)="Method 3",Defaults!$C$12,IF(LEFT($D$84,8)="Method 2",MIN(Defaults!$C$13,$D$87),IF($D$82&gt;Defaults!$C$18,0,$D$86)))</f>
        <v>0.82</v>
      </c>
      <c r="E88" s="2" t="s">
        <v>263</v>
      </c>
      <c r="F88" s="36" t="s">
        <v>130</v>
      </c>
    </row>
    <row r="89" spans="2:6" ht="51" x14ac:dyDescent="0.2">
      <c r="B89" s="6" t="s">
        <v>395</v>
      </c>
      <c r="C89" s="4"/>
      <c r="D89" s="30" t="s">
        <v>396</v>
      </c>
      <c r="E89" s="4"/>
      <c r="F89" s="1" t="s">
        <v>397</v>
      </c>
    </row>
    <row r="90" spans="2:6" ht="30" customHeight="1" x14ac:dyDescent="0.2">
      <c r="B90" s="6" t="s">
        <v>398</v>
      </c>
      <c r="C90" s="4"/>
      <c r="D90" s="30" t="s">
        <v>270</v>
      </c>
      <c r="E90" s="4"/>
      <c r="F90" s="1" t="s">
        <v>399</v>
      </c>
    </row>
    <row r="91" spans="2:6" ht="51" x14ac:dyDescent="0.2">
      <c r="B91" s="6" t="s">
        <v>185</v>
      </c>
      <c r="C91" s="4" t="s">
        <v>400</v>
      </c>
      <c r="D91" s="19">
        <f>IF($D$90="Yes",0,INDEX(Defaults!$C$67:$C$70,MATCH($D$89,Defaults!$B$67:$B$70,0)))</f>
        <v>0.02</v>
      </c>
      <c r="E91" s="4" t="s">
        <v>263</v>
      </c>
      <c r="F91" s="1" t="s">
        <v>397</v>
      </c>
    </row>
    <row r="92" spans="2:6" ht="17" x14ac:dyDescent="0.2">
      <c r="B92" s="6" t="s">
        <v>401</v>
      </c>
      <c r="C92" s="4"/>
      <c r="D92" s="44">
        <v>4</v>
      </c>
      <c r="E92" s="4" t="s">
        <v>402</v>
      </c>
      <c r="F92" s="1" t="s">
        <v>403</v>
      </c>
    </row>
    <row r="93" spans="2:6" ht="17" x14ac:dyDescent="0.2">
      <c r="B93" s="6" t="s">
        <v>404</v>
      </c>
      <c r="C93" s="4"/>
      <c r="D93" s="4" t="str">
        <f>IF(LEFT($D$22,2)="A1",IF($D$92&gt;Defaults!$C$48,"Above the 50 t/ha cap","OK"),"n/a")</f>
        <v>OK</v>
      </c>
      <c r="E93" s="4"/>
      <c r="F93" s="1" t="s">
        <v>403</v>
      </c>
    </row>
    <row r="95" spans="2:6" ht="16" x14ac:dyDescent="0.2">
      <c r="B95" s="10" t="s">
        <v>405</v>
      </c>
      <c r="C95" s="11"/>
      <c r="D95" s="11"/>
      <c r="E95" s="11"/>
      <c r="F95" s="11"/>
    </row>
    <row r="96" spans="2:6" ht="16" x14ac:dyDescent="0.2">
      <c r="B96" s="12" t="s">
        <v>215</v>
      </c>
      <c r="C96" s="12" t="s">
        <v>216</v>
      </c>
      <c r="D96" s="12" t="s">
        <v>217</v>
      </c>
      <c r="E96" s="12" t="s">
        <v>218</v>
      </c>
      <c r="F96" s="12" t="s">
        <v>219</v>
      </c>
    </row>
    <row r="97" spans="2:19" ht="17" x14ac:dyDescent="0.2">
      <c r="B97" s="6" t="s">
        <v>406</v>
      </c>
      <c r="C97" s="4"/>
      <c r="D97" s="30" t="s">
        <v>574</v>
      </c>
      <c r="E97" s="4"/>
      <c r="F97" s="1" t="s">
        <v>142</v>
      </c>
    </row>
    <row r="98" spans="2:19" ht="34" x14ac:dyDescent="0.2">
      <c r="B98" s="6" t="s">
        <v>408</v>
      </c>
      <c r="C98" s="4" t="s">
        <v>409</v>
      </c>
      <c r="D98" s="42">
        <f>INDEX(Defaults!$C$61:$C$63,MATCH($D$54,Defaults!$B$61:$B$63,0))</f>
        <v>5.4999999999999997E-3</v>
      </c>
      <c r="E98" s="4" t="s">
        <v>410</v>
      </c>
      <c r="F98" s="1" t="s">
        <v>411</v>
      </c>
    </row>
    <row r="99" spans="2:19" ht="30" customHeight="1" x14ac:dyDescent="0.2">
      <c r="B99" s="6" t="s">
        <v>412</v>
      </c>
      <c r="C99" s="4" t="s">
        <v>409</v>
      </c>
      <c r="D99" s="40">
        <v>4.0000000000000001E-3</v>
      </c>
      <c r="E99" s="4" t="s">
        <v>410</v>
      </c>
      <c r="F99" s="1" t="s">
        <v>413</v>
      </c>
    </row>
    <row r="100" spans="2:19" ht="30" customHeight="1" x14ac:dyDescent="0.2">
      <c r="B100" s="6" t="s">
        <v>414</v>
      </c>
      <c r="C100" s="4" t="s">
        <v>409</v>
      </c>
      <c r="D100" s="45">
        <f>MAX($D$99,IF($D$98&gt;0,$D$98,Defaults!$C$26))</f>
        <v>5.4999999999999997E-3</v>
      </c>
      <c r="E100" s="4" t="s">
        <v>410</v>
      </c>
      <c r="F100" s="1" t="s">
        <v>413</v>
      </c>
    </row>
    <row r="101" spans="2:19" ht="30" customHeight="1" x14ac:dyDescent="0.2">
      <c r="B101" s="6" t="s">
        <v>415</v>
      </c>
      <c r="C101" s="4" t="s">
        <v>416</v>
      </c>
      <c r="D101" s="46">
        <v>2.6800000000000001E-3</v>
      </c>
      <c r="E101" s="4" t="s">
        <v>417</v>
      </c>
      <c r="F101" s="1" t="s">
        <v>418</v>
      </c>
    </row>
    <row r="102" spans="2:19" ht="30" customHeight="1" x14ac:dyDescent="0.2">
      <c r="B102" s="6" t="s">
        <v>419</v>
      </c>
      <c r="C102" s="4" t="s">
        <v>420</v>
      </c>
      <c r="D102" s="39">
        <v>0.7</v>
      </c>
      <c r="E102" s="4" t="s">
        <v>421</v>
      </c>
      <c r="F102" s="1" t="s">
        <v>422</v>
      </c>
    </row>
    <row r="103" spans="2:19" ht="45" customHeight="1" x14ac:dyDescent="0.2">
      <c r="B103" s="6" t="s">
        <v>423</v>
      </c>
      <c r="C103" s="4" t="s">
        <v>424</v>
      </c>
      <c r="D103" s="46">
        <v>1.2E-4</v>
      </c>
      <c r="E103" s="4" t="s">
        <v>425</v>
      </c>
      <c r="F103" s="1" t="s">
        <v>426</v>
      </c>
    </row>
    <row r="104" spans="2:19" ht="45" customHeight="1" x14ac:dyDescent="0.2">
      <c r="B104" s="6" t="s">
        <v>427</v>
      </c>
      <c r="C104" s="4"/>
      <c r="D104" s="30" t="s">
        <v>428</v>
      </c>
      <c r="E104" s="4"/>
      <c r="F104" s="1" t="s">
        <v>429</v>
      </c>
    </row>
    <row r="106" spans="2:19" ht="16" x14ac:dyDescent="0.2">
      <c r="B106" s="10" t="s">
        <v>430</v>
      </c>
      <c r="C106" s="11"/>
      <c r="D106" s="11"/>
      <c r="E106" s="11"/>
      <c r="F106" s="11"/>
    </row>
    <row r="107" spans="2:19" ht="16" x14ac:dyDescent="0.2">
      <c r="B107" s="12" t="s">
        <v>215</v>
      </c>
      <c r="C107" s="12" t="s">
        <v>216</v>
      </c>
      <c r="D107" s="12" t="s">
        <v>217</v>
      </c>
      <c r="E107" s="12" t="s">
        <v>218</v>
      </c>
      <c r="F107" s="12" t="s">
        <v>219</v>
      </c>
    </row>
    <row r="108" spans="2:19" ht="45" customHeight="1" x14ac:dyDescent="0.2">
      <c r="B108" s="6" t="s">
        <v>431</v>
      </c>
      <c r="C108" s="4" t="s">
        <v>432</v>
      </c>
      <c r="D108" s="47">
        <v>0</v>
      </c>
      <c r="E108" s="4" t="s">
        <v>433</v>
      </c>
      <c r="F108" s="1" t="s">
        <v>434</v>
      </c>
    </row>
    <row r="109" spans="2:19" ht="34" x14ac:dyDescent="0.2">
      <c r="B109" s="6" t="s">
        <v>435</v>
      </c>
      <c r="C109" s="4"/>
      <c r="D109" s="4" t="str">
        <f>IF($D$21="Track 3","Option B (inventory)",IF($D$108&gt;0,"Option B (inventory)","Option A (default per tonne)"))</f>
        <v>Option A (default per tonne)</v>
      </c>
      <c r="E109" s="4"/>
      <c r="F109" s="1" t="s">
        <v>436</v>
      </c>
    </row>
    <row r="110" spans="2:19" ht="30" customHeight="1" x14ac:dyDescent="0.2">
      <c r="B110" s="6" t="s">
        <v>437</v>
      </c>
      <c r="C110" s="4"/>
      <c r="D110" s="4" t="str">
        <f>IF((IF(AND($D$21="Track 1",LEFT($D$22,2)&lt;&gt;"A1"),"Modules A2 and A3 are not available under Track 1 (Annex 3, Table 19). ","")&amp;IF(AND($D$21&lt;&gt;"Track 3",OR(LEFT($D$23,2)="F5",LEFT($D$23,2)="F6")),"Modules F5 and F6 are restricted to Track 3 (Annex 1). ","")&amp;IF(AND($D$21&lt;&gt;"Track 1",LEFT($D$84,8)="Method 1",NOT(ISNUMBER($D$26))),"Tracks 2 and 3 enter the gridded-dataset soil temperature (Section 8.5). ","")&amp;IF(AND($D$21="Track 3",$D$77="Default (Table 21)"),"Track 3 measures organic carbon (Section 8.4). ","")&amp;IF(AND($D$21&lt;&gt;"Track 1",LEFT($D$74,7)="Default"),"The biochar moisture default is restricted to Track 1 (PARC 8). ","")&amp;IF(AND($D$21&lt;&gt;"Track 1",LEFT($D$51,5)="Yield"),"The yield default is restricted to Track 1 (PARC 3). ","")&amp;IF(AND(LEFT($D$23,2)="F1",LEFT($D$51,5)="Yield"),"Module F1 residue is weighed at collection (Section 8.3). ","")&amp;IF(AND($D$21="Track 3",LEFT($D$104,5)="Small"),"The small-hub default is available to Tracks 1 and 2 only (Section 9.3). ","")&amp;IF(AND($D$21&lt;&gt;"Track 1",LEFT($D$97,6)="Option"),"Methane Options A and B are Track 1 routes (Section 9.4). ","")&amp;IF(AND($D$21="Track 3",LEFT($D$97,7)="Track 2"),"Track 3 measures methane continuously (Section 9.4). ","")&amp;IF(AND(LEFT($D$97,8)="Option A",LEFT($D$54,5)="Moist"),"Feedstock above 24% moisture is not creditable; dry before charging (Section 9.4). ","")&amp;IF(AND(LEFT($D$22,2)="A1",LEFT($D$84,8)="Method 3"),"Method 3 applies to Modules A2 and A3 only (Section 8.5). ","")&amp;IF(AND(LEFT($D$22,2)&lt;&gt;"A1",LEFT($D$84,8)&lt;&gt;"Method 3"),"Modules A2 and A3 apply Method 3 (Section 8.5). ","")&amp;IF(AND($D$21="Track 1",LEFT($D$84,8)="Method 2"),"Method 2 is available to Tracks 2 and 3 only (Section 8.5). ",""))="","OK",TRIM(IF(AND($D$21="Track 1",LEFT($D$22,2)&lt;&gt;"A1"),"Modules A2 and A3 are not available under Track 1 (Annex 3, Table 19). ","")&amp;IF(AND($D$21&lt;&gt;"Track 3",OR(LEFT($D$23,2)="F5",LEFT($D$23,2)="F6")),"Modules F5 and F6 are restricted to Track 3 (Annex 1). ","")&amp;IF(AND($D$21&lt;&gt;"Track 1",LEFT($D$84,8)="Method 1",NOT(ISNUMBER($D$26))),"Tracks 2 and 3 enter the gridded-dataset soil temperature (Section 8.5). ","")&amp;IF(AND($D$21="Track 3",$D$77="Default (Table 21)"),"Track 3 measures organic carbon (Section 8.4). ","")&amp;IF(AND($D$21&lt;&gt;"Track 1",LEFT($D$74,7)="Default"),"The biochar moisture default is restricted to Track 1 (PARC 8). ","")&amp;IF(AND($D$21&lt;&gt;"Track 1",LEFT($D$51,5)="Yield"),"The yield default is restricted to Track 1 (PARC 3). ","")&amp;IF(AND(LEFT($D$23,2)="F1",LEFT($D$51,5)="Yield"),"Module F1 residue is weighed at collection (Section 8.3). ","")&amp;IF(AND($D$21="Track 3",LEFT($D$104,5)="Small"),"The small-hub default is available to Tracks 1 and 2 only (Section 9.3). ","")&amp;IF(AND($D$21&lt;&gt;"Track 1",LEFT($D$97,6)="Option"),"Methane Options A and B are Track 1 routes (Section 9.4). ","")&amp;IF(AND($D$21="Track 3",LEFT($D$97,7)="Track 2"),"Track 3 measures methane continuously (Section 9.4). ","")&amp;IF(AND(LEFT($D$97,8)="Option A",LEFT($D$54,5)="Moist"),"Feedstock above 24% moisture is not creditable; dry before charging (Section 9.4). ","")&amp;IF(AND(LEFT($D$22,2)="A1",LEFT($D$84,8)="Method 3"),"Method 3 applies to Modules A2 and A3 only (Section 8.5). ","")&amp;IF(AND(LEFT($D$22,2)&lt;&gt;"A1",LEFT($D$84,8)&lt;&gt;"Method 3"),"Modules A2 and A3 apply Method 3 (Section 8.5). ","")&amp;IF(AND($D$21="Track 1",LEFT($D$84,8)="Method 2"),"Method 2 is available to Tracks 2 and 3 only (Section 8.5). ","")))</f>
        <v>OK</v>
      </c>
      <c r="E110" s="4"/>
      <c r="F110" s="1" t="s">
        <v>438</v>
      </c>
    </row>
    <row r="112" spans="2:19" ht="16" x14ac:dyDescent="0.2">
      <c r="B112" s="10" t="s">
        <v>439</v>
      </c>
      <c r="C112" s="11"/>
      <c r="D112" s="11"/>
      <c r="E112" s="11"/>
      <c r="F112" s="11"/>
      <c r="G112" s="11"/>
      <c r="H112" s="11"/>
      <c r="I112" s="11"/>
      <c r="J112" s="11"/>
      <c r="K112" s="11"/>
      <c r="L112" s="11"/>
      <c r="M112" s="11"/>
      <c r="N112" s="11"/>
      <c r="R112" s="11"/>
      <c r="S112" s="11"/>
    </row>
    <row r="113" spans="2:19" ht="16" x14ac:dyDescent="0.2">
      <c r="B113" s="12" t="s">
        <v>440</v>
      </c>
      <c r="C113" s="12" t="s">
        <v>216</v>
      </c>
      <c r="D113" s="48" t="s">
        <v>441</v>
      </c>
      <c r="E113" s="48" t="s">
        <v>442</v>
      </c>
      <c r="F113" s="48" t="s">
        <v>443</v>
      </c>
      <c r="G113" s="48" t="s">
        <v>444</v>
      </c>
      <c r="H113" s="48" t="s">
        <v>445</v>
      </c>
      <c r="I113" s="48" t="s">
        <v>446</v>
      </c>
      <c r="J113" s="48" t="s">
        <v>447</v>
      </c>
      <c r="K113" s="48" t="s">
        <v>448</v>
      </c>
      <c r="L113" s="48" t="s">
        <v>449</v>
      </c>
      <c r="M113" s="48" t="s">
        <v>450</v>
      </c>
      <c r="N113" s="48" t="s">
        <v>451</v>
      </c>
      <c r="R113" s="12" t="s">
        <v>218</v>
      </c>
      <c r="S113" s="12" t="s">
        <v>452</v>
      </c>
    </row>
    <row r="114" spans="2:19" ht="16" x14ac:dyDescent="0.2">
      <c r="B114" s="49" t="s">
        <v>453</v>
      </c>
    </row>
    <row r="115" spans="2:19" ht="17" x14ac:dyDescent="0.2">
      <c r="B115" s="6" t="s">
        <v>454</v>
      </c>
      <c r="C115" s="4"/>
      <c r="D115" s="50">
        <v>1</v>
      </c>
      <c r="E115" s="50">
        <v>1</v>
      </c>
      <c r="F115" s="50">
        <v>1</v>
      </c>
      <c r="G115" s="50">
        <v>1</v>
      </c>
      <c r="H115" s="50">
        <v>1</v>
      </c>
      <c r="I115" s="50">
        <v>1</v>
      </c>
      <c r="J115" s="50">
        <v>1</v>
      </c>
      <c r="K115" s="50">
        <v>1</v>
      </c>
      <c r="L115" s="50">
        <v>1</v>
      </c>
      <c r="M115" s="50">
        <v>1</v>
      </c>
      <c r="N115" s="51">
        <f>SUM(D115:M115)</f>
        <v>10</v>
      </c>
      <c r="R115" s="4"/>
      <c r="S115" s="9"/>
    </row>
    <row r="116" spans="2:19" ht="17" x14ac:dyDescent="0.2">
      <c r="B116" s="6" t="s">
        <v>455</v>
      </c>
      <c r="C116" s="4" t="s">
        <v>456</v>
      </c>
      <c r="D116" s="47">
        <v>600</v>
      </c>
      <c r="E116" s="47">
        <v>1050</v>
      </c>
      <c r="F116" s="47">
        <v>1500</v>
      </c>
      <c r="G116" s="47">
        <v>1500</v>
      </c>
      <c r="H116" s="47">
        <v>1500</v>
      </c>
      <c r="I116" s="47">
        <v>1500</v>
      </c>
      <c r="J116" s="47">
        <v>1500</v>
      </c>
      <c r="K116" s="47">
        <v>1500</v>
      </c>
      <c r="L116" s="47">
        <v>1500</v>
      </c>
      <c r="M116" s="47">
        <v>1500</v>
      </c>
      <c r="N116" s="52">
        <f>SUM(D116:M116)</f>
        <v>13650</v>
      </c>
      <c r="R116" s="4" t="s">
        <v>457</v>
      </c>
      <c r="S116" s="9" t="s">
        <v>458</v>
      </c>
    </row>
    <row r="117" spans="2:19" ht="17" x14ac:dyDescent="0.2">
      <c r="B117" s="6" t="s">
        <v>459</v>
      </c>
      <c r="C117" s="4" t="s">
        <v>460</v>
      </c>
      <c r="D117" s="47">
        <v>0</v>
      </c>
      <c r="E117" s="47">
        <v>0</v>
      </c>
      <c r="F117" s="47">
        <v>0</v>
      </c>
      <c r="G117" s="47">
        <v>0</v>
      </c>
      <c r="H117" s="47">
        <v>0</v>
      </c>
      <c r="I117" s="47">
        <v>0</v>
      </c>
      <c r="J117" s="47">
        <v>0</v>
      </c>
      <c r="K117" s="47">
        <v>0</v>
      </c>
      <c r="L117" s="47">
        <v>0</v>
      </c>
      <c r="M117" s="47">
        <v>0</v>
      </c>
      <c r="N117" s="52">
        <f>SUM(D117:M117)</f>
        <v>0</v>
      </c>
      <c r="R117" s="4" t="s">
        <v>226</v>
      </c>
      <c r="S117" s="9" t="s">
        <v>458</v>
      </c>
    </row>
    <row r="118" spans="2:19" ht="30" customHeight="1" x14ac:dyDescent="0.2">
      <c r="B118" s="6" t="s">
        <v>461</v>
      </c>
      <c r="C118" s="4" t="s">
        <v>462</v>
      </c>
      <c r="D118" s="44">
        <v>0</v>
      </c>
      <c r="E118" s="44">
        <v>0</v>
      </c>
      <c r="F118" s="44">
        <v>0</v>
      </c>
      <c r="G118" s="44">
        <v>0</v>
      </c>
      <c r="H118" s="44">
        <v>0</v>
      </c>
      <c r="I118" s="44">
        <v>0</v>
      </c>
      <c r="J118" s="44">
        <v>0</v>
      </c>
      <c r="K118" s="44">
        <v>0</v>
      </c>
      <c r="L118" s="44">
        <v>0</v>
      </c>
      <c r="M118" s="44">
        <v>0</v>
      </c>
      <c r="R118" s="4" t="s">
        <v>463</v>
      </c>
      <c r="S118" s="9" t="s">
        <v>464</v>
      </c>
    </row>
    <row r="119" spans="2:19" ht="17" x14ac:dyDescent="0.2">
      <c r="B119" s="6" t="s">
        <v>465</v>
      </c>
      <c r="C119" s="4" t="s">
        <v>466</v>
      </c>
      <c r="D119" s="47">
        <v>0</v>
      </c>
      <c r="E119" s="47">
        <v>0</v>
      </c>
      <c r="F119" s="47">
        <v>0</v>
      </c>
      <c r="G119" s="47">
        <v>0</v>
      </c>
      <c r="H119" s="47">
        <v>0</v>
      </c>
      <c r="I119" s="47">
        <v>0</v>
      </c>
      <c r="J119" s="47">
        <v>0</v>
      </c>
      <c r="K119" s="47">
        <v>0</v>
      </c>
      <c r="L119" s="47">
        <v>0</v>
      </c>
      <c r="M119" s="47">
        <v>0</v>
      </c>
      <c r="N119" s="52">
        <f t="shared" ref="N119:N130" si="0">SUM(D119:M119)</f>
        <v>0</v>
      </c>
      <c r="R119" s="4" t="s">
        <v>221</v>
      </c>
      <c r="S119" s="9" t="s">
        <v>137</v>
      </c>
    </row>
    <row r="120" spans="2:19" ht="30" customHeight="1" x14ac:dyDescent="0.2">
      <c r="B120" s="6" t="s">
        <v>467</v>
      </c>
      <c r="C120" s="4" t="s">
        <v>468</v>
      </c>
      <c r="D120" s="53">
        <v>0</v>
      </c>
      <c r="E120" s="53">
        <v>0</v>
      </c>
      <c r="F120" s="53">
        <v>0</v>
      </c>
      <c r="G120" s="53">
        <v>0</v>
      </c>
      <c r="H120" s="53">
        <v>0</v>
      </c>
      <c r="I120" s="53">
        <v>0</v>
      </c>
      <c r="J120" s="53">
        <v>0</v>
      </c>
      <c r="K120" s="53">
        <v>0</v>
      </c>
      <c r="L120" s="53">
        <v>0</v>
      </c>
      <c r="M120" s="53">
        <v>0</v>
      </c>
      <c r="N120" s="54">
        <f t="shared" si="0"/>
        <v>0</v>
      </c>
      <c r="R120" s="4" t="s">
        <v>226</v>
      </c>
      <c r="S120" s="9" t="s">
        <v>469</v>
      </c>
    </row>
    <row r="121" spans="2:19" ht="17" x14ac:dyDescent="0.2">
      <c r="B121" s="6" t="s">
        <v>470</v>
      </c>
      <c r="C121" s="4" t="s">
        <v>471</v>
      </c>
      <c r="D121" s="38">
        <v>0</v>
      </c>
      <c r="E121" s="38">
        <v>0</v>
      </c>
      <c r="F121" s="38">
        <v>0</v>
      </c>
      <c r="G121" s="38">
        <v>0</v>
      </c>
      <c r="H121" s="38">
        <v>0</v>
      </c>
      <c r="I121" s="38">
        <v>0</v>
      </c>
      <c r="J121" s="38">
        <v>0</v>
      </c>
      <c r="K121" s="38">
        <v>0</v>
      </c>
      <c r="L121" s="38">
        <v>0</v>
      </c>
      <c r="M121" s="38">
        <v>0</v>
      </c>
      <c r="N121" s="55">
        <f t="shared" si="0"/>
        <v>0</v>
      </c>
      <c r="R121" s="4" t="s">
        <v>472</v>
      </c>
      <c r="S121" s="9" t="s">
        <v>473</v>
      </c>
    </row>
    <row r="122" spans="2:19" ht="17" x14ac:dyDescent="0.2">
      <c r="B122" s="6" t="s">
        <v>474</v>
      </c>
      <c r="C122" s="4" t="s">
        <v>475</v>
      </c>
      <c r="D122" s="47">
        <v>0</v>
      </c>
      <c r="E122" s="47">
        <v>0</v>
      </c>
      <c r="F122" s="47">
        <v>0</v>
      </c>
      <c r="G122" s="47">
        <v>0</v>
      </c>
      <c r="H122" s="47">
        <v>0</v>
      </c>
      <c r="I122" s="47">
        <v>0</v>
      </c>
      <c r="J122" s="47">
        <v>0</v>
      </c>
      <c r="K122" s="47">
        <v>0</v>
      </c>
      <c r="L122" s="47">
        <v>0</v>
      </c>
      <c r="M122" s="47">
        <v>0</v>
      </c>
      <c r="N122" s="52">
        <f t="shared" si="0"/>
        <v>0</v>
      </c>
      <c r="R122" s="4" t="s">
        <v>476</v>
      </c>
      <c r="S122" s="9" t="s">
        <v>477</v>
      </c>
    </row>
    <row r="123" spans="2:19" ht="17" x14ac:dyDescent="0.2">
      <c r="B123" s="6" t="s">
        <v>478</v>
      </c>
      <c r="C123" s="4" t="s">
        <v>479</v>
      </c>
      <c r="D123" s="53">
        <v>0</v>
      </c>
      <c r="E123" s="53">
        <v>0</v>
      </c>
      <c r="F123" s="53">
        <v>0</v>
      </c>
      <c r="G123" s="53">
        <v>0</v>
      </c>
      <c r="H123" s="53">
        <v>0</v>
      </c>
      <c r="I123" s="53">
        <v>0</v>
      </c>
      <c r="J123" s="53">
        <v>0</v>
      </c>
      <c r="K123" s="53">
        <v>0</v>
      </c>
      <c r="L123" s="53">
        <v>0</v>
      </c>
      <c r="M123" s="53">
        <v>0</v>
      </c>
      <c r="N123" s="54">
        <f t="shared" si="0"/>
        <v>0</v>
      </c>
      <c r="R123" s="4" t="s">
        <v>480</v>
      </c>
      <c r="S123" s="9" t="s">
        <v>477</v>
      </c>
    </row>
    <row r="124" spans="2:19" ht="17" x14ac:dyDescent="0.2">
      <c r="B124" s="6" t="s">
        <v>481</v>
      </c>
      <c r="C124" s="4" t="s">
        <v>482</v>
      </c>
      <c r="D124" s="47">
        <v>0</v>
      </c>
      <c r="E124" s="47">
        <v>0</v>
      </c>
      <c r="F124" s="47">
        <v>0</v>
      </c>
      <c r="G124" s="47">
        <v>0</v>
      </c>
      <c r="H124" s="47">
        <v>0</v>
      </c>
      <c r="I124" s="47">
        <v>0</v>
      </c>
      <c r="J124" s="47">
        <v>0</v>
      </c>
      <c r="K124" s="47">
        <v>0</v>
      </c>
      <c r="L124" s="47">
        <v>0</v>
      </c>
      <c r="M124" s="47">
        <v>0</v>
      </c>
      <c r="N124" s="52">
        <f t="shared" si="0"/>
        <v>0</v>
      </c>
      <c r="R124" s="4" t="s">
        <v>221</v>
      </c>
      <c r="S124" s="9" t="s">
        <v>483</v>
      </c>
    </row>
    <row r="125" spans="2:19" ht="17" x14ac:dyDescent="0.2">
      <c r="B125" s="6" t="s">
        <v>484</v>
      </c>
      <c r="C125" s="4" t="s">
        <v>485</v>
      </c>
      <c r="D125" s="47">
        <v>0</v>
      </c>
      <c r="E125" s="47">
        <v>0</v>
      </c>
      <c r="F125" s="47">
        <v>0</v>
      </c>
      <c r="G125" s="47">
        <v>0</v>
      </c>
      <c r="H125" s="47">
        <v>0</v>
      </c>
      <c r="I125" s="47">
        <v>0</v>
      </c>
      <c r="J125" s="47">
        <v>0</v>
      </c>
      <c r="K125" s="47">
        <v>0</v>
      </c>
      <c r="L125" s="47">
        <v>0</v>
      </c>
      <c r="M125" s="47">
        <v>0</v>
      </c>
      <c r="N125" s="52">
        <f t="shared" si="0"/>
        <v>0</v>
      </c>
      <c r="R125" s="4" t="s">
        <v>476</v>
      </c>
      <c r="S125" s="9" t="s">
        <v>486</v>
      </c>
    </row>
    <row r="126" spans="2:19" ht="17" x14ac:dyDescent="0.2">
      <c r="B126" s="6" t="s">
        <v>487</v>
      </c>
      <c r="C126" s="4" t="s">
        <v>488</v>
      </c>
      <c r="D126" s="53">
        <v>0</v>
      </c>
      <c r="E126" s="53">
        <v>0</v>
      </c>
      <c r="F126" s="53">
        <v>0</v>
      </c>
      <c r="G126" s="53">
        <v>0</v>
      </c>
      <c r="H126" s="53">
        <v>0</v>
      </c>
      <c r="I126" s="53">
        <v>0</v>
      </c>
      <c r="J126" s="53">
        <v>0</v>
      </c>
      <c r="K126" s="53">
        <v>0</v>
      </c>
      <c r="L126" s="53">
        <v>0</v>
      </c>
      <c r="M126" s="53">
        <v>0</v>
      </c>
      <c r="N126" s="54">
        <f t="shared" si="0"/>
        <v>0</v>
      </c>
      <c r="R126" s="4" t="s">
        <v>480</v>
      </c>
      <c r="S126" s="9" t="s">
        <v>486</v>
      </c>
    </row>
    <row r="127" spans="2:19" ht="17" x14ac:dyDescent="0.2">
      <c r="B127" s="6" t="s">
        <v>489</v>
      </c>
      <c r="C127" s="4" t="s">
        <v>490</v>
      </c>
      <c r="D127" s="47">
        <v>9000</v>
      </c>
      <c r="E127" s="47">
        <v>15750</v>
      </c>
      <c r="F127" s="47">
        <v>22500</v>
      </c>
      <c r="G127" s="47">
        <v>22500</v>
      </c>
      <c r="H127" s="47">
        <v>22500</v>
      </c>
      <c r="I127" s="47">
        <v>22500</v>
      </c>
      <c r="J127" s="47">
        <v>22500</v>
      </c>
      <c r="K127" s="47">
        <v>22500</v>
      </c>
      <c r="L127" s="47">
        <v>22500</v>
      </c>
      <c r="M127" s="47">
        <v>22500</v>
      </c>
      <c r="N127" s="52">
        <f t="shared" si="0"/>
        <v>204750</v>
      </c>
      <c r="R127" s="4" t="s">
        <v>491</v>
      </c>
      <c r="S127" s="9" t="s">
        <v>492</v>
      </c>
    </row>
    <row r="128" spans="2:19" ht="17" x14ac:dyDescent="0.2">
      <c r="B128" s="6" t="s">
        <v>493</v>
      </c>
      <c r="C128" s="4" t="s">
        <v>494</v>
      </c>
      <c r="D128" s="47">
        <v>0</v>
      </c>
      <c r="E128" s="47">
        <v>0</v>
      </c>
      <c r="F128" s="47">
        <v>0</v>
      </c>
      <c r="G128" s="47">
        <v>0</v>
      </c>
      <c r="H128" s="47">
        <v>0</v>
      </c>
      <c r="I128" s="47">
        <v>0</v>
      </c>
      <c r="J128" s="47">
        <v>0</v>
      </c>
      <c r="K128" s="47">
        <v>0</v>
      </c>
      <c r="L128" s="47">
        <v>0</v>
      </c>
      <c r="M128" s="47">
        <v>0</v>
      </c>
      <c r="N128" s="52">
        <f t="shared" si="0"/>
        <v>0</v>
      </c>
      <c r="R128" s="4" t="s">
        <v>476</v>
      </c>
      <c r="S128" s="9" t="s">
        <v>495</v>
      </c>
    </row>
    <row r="129" spans="2:19" ht="30" customHeight="1" x14ac:dyDescent="0.2">
      <c r="B129" s="6" t="s">
        <v>496</v>
      </c>
      <c r="C129" s="4" t="s">
        <v>497</v>
      </c>
      <c r="D129" s="47">
        <v>0</v>
      </c>
      <c r="E129" s="47">
        <v>0</v>
      </c>
      <c r="F129" s="47">
        <v>0</v>
      </c>
      <c r="G129" s="47">
        <v>0</v>
      </c>
      <c r="H129" s="47">
        <v>0</v>
      </c>
      <c r="I129" s="47">
        <v>0</v>
      </c>
      <c r="J129" s="47">
        <v>0</v>
      </c>
      <c r="K129" s="47">
        <v>0</v>
      </c>
      <c r="L129" s="47">
        <v>0</v>
      </c>
      <c r="M129" s="47">
        <v>0</v>
      </c>
      <c r="N129" s="52">
        <f t="shared" si="0"/>
        <v>0</v>
      </c>
      <c r="R129" s="4" t="s">
        <v>221</v>
      </c>
      <c r="S129" s="9" t="s">
        <v>498</v>
      </c>
    </row>
    <row r="130" spans="2:19" ht="30" customHeight="1" x14ac:dyDescent="0.2">
      <c r="B130" s="6" t="s">
        <v>499</v>
      </c>
      <c r="C130" s="4" t="s">
        <v>500</v>
      </c>
      <c r="D130" s="47">
        <v>0</v>
      </c>
      <c r="E130" s="47">
        <v>0</v>
      </c>
      <c r="F130" s="47">
        <v>0</v>
      </c>
      <c r="G130" s="47">
        <v>0</v>
      </c>
      <c r="H130" s="47">
        <v>0</v>
      </c>
      <c r="I130" s="47">
        <v>0</v>
      </c>
      <c r="J130" s="47">
        <v>0</v>
      </c>
      <c r="K130" s="47">
        <v>0</v>
      </c>
      <c r="L130" s="47">
        <v>0</v>
      </c>
      <c r="M130" s="47">
        <v>0</v>
      </c>
      <c r="N130" s="52">
        <f t="shared" si="0"/>
        <v>0</v>
      </c>
      <c r="R130" s="4" t="s">
        <v>226</v>
      </c>
      <c r="S130" s="9" t="s">
        <v>501</v>
      </c>
    </row>
    <row r="131" spans="2:19" ht="17" x14ac:dyDescent="0.2">
      <c r="B131" s="6" t="s">
        <v>502</v>
      </c>
      <c r="C131" s="4" t="s">
        <v>369</v>
      </c>
      <c r="D131" s="32"/>
      <c r="E131" s="32"/>
      <c r="F131" s="32"/>
      <c r="G131" s="32"/>
      <c r="H131" s="32"/>
      <c r="I131" s="32"/>
      <c r="J131" s="32"/>
      <c r="K131" s="32"/>
      <c r="L131" s="32"/>
      <c r="M131" s="32"/>
      <c r="R131" s="4" t="s">
        <v>263</v>
      </c>
      <c r="S131" s="9" t="s">
        <v>124</v>
      </c>
    </row>
    <row r="132" spans="2:19" ht="17" x14ac:dyDescent="0.2">
      <c r="B132" s="6" t="s">
        <v>503</v>
      </c>
      <c r="C132" s="4" t="s">
        <v>262</v>
      </c>
      <c r="D132" s="56">
        <f t="shared" ref="D132:M132" si="1">$D$28</f>
        <v>1.2500000000000001E-2</v>
      </c>
      <c r="E132" s="56">
        <f t="shared" si="1"/>
        <v>1.2500000000000001E-2</v>
      </c>
      <c r="F132" s="56">
        <f t="shared" si="1"/>
        <v>1.2500000000000001E-2</v>
      </c>
      <c r="G132" s="56">
        <f t="shared" si="1"/>
        <v>1.2500000000000001E-2</v>
      </c>
      <c r="H132" s="56">
        <f t="shared" si="1"/>
        <v>1.2500000000000001E-2</v>
      </c>
      <c r="I132" s="56">
        <f t="shared" si="1"/>
        <v>1.2500000000000001E-2</v>
      </c>
      <c r="J132" s="56">
        <f t="shared" si="1"/>
        <v>1.2500000000000001E-2</v>
      </c>
      <c r="K132" s="56">
        <f t="shared" si="1"/>
        <v>1.2500000000000001E-2</v>
      </c>
      <c r="L132" s="56">
        <f t="shared" si="1"/>
        <v>1.2500000000000001E-2</v>
      </c>
      <c r="M132" s="56">
        <f t="shared" si="1"/>
        <v>1.2500000000000001E-2</v>
      </c>
      <c r="R132" s="4" t="s">
        <v>263</v>
      </c>
      <c r="S132" s="9" t="s">
        <v>234</v>
      </c>
    </row>
    <row r="134" spans="2:19" ht="16" x14ac:dyDescent="0.2">
      <c r="B134" s="49" t="s">
        <v>504</v>
      </c>
    </row>
    <row r="135" spans="2:19" ht="17" x14ac:dyDescent="0.2">
      <c r="B135" s="6" t="s">
        <v>505</v>
      </c>
      <c r="C135" s="4" t="s">
        <v>369</v>
      </c>
      <c r="D135" s="20">
        <f t="shared" ref="D135:M135" si="2">IF(ISNUMBER(D$131),D$131,$D$76)</f>
        <v>0.1</v>
      </c>
      <c r="E135" s="20">
        <f t="shared" si="2"/>
        <v>0.1</v>
      </c>
      <c r="F135" s="20">
        <f t="shared" si="2"/>
        <v>0.1</v>
      </c>
      <c r="G135" s="20">
        <f t="shared" si="2"/>
        <v>0.1</v>
      </c>
      <c r="H135" s="20">
        <f t="shared" si="2"/>
        <v>0.1</v>
      </c>
      <c r="I135" s="20">
        <f t="shared" si="2"/>
        <v>0.1</v>
      </c>
      <c r="J135" s="20">
        <f t="shared" si="2"/>
        <v>0.1</v>
      </c>
      <c r="K135" s="20">
        <f t="shared" si="2"/>
        <v>0.1</v>
      </c>
      <c r="L135" s="20">
        <f t="shared" si="2"/>
        <v>0.1</v>
      </c>
      <c r="M135" s="20">
        <f t="shared" si="2"/>
        <v>0.1</v>
      </c>
      <c r="R135" s="4" t="s">
        <v>263</v>
      </c>
      <c r="S135" s="9" t="s">
        <v>124</v>
      </c>
    </row>
    <row r="136" spans="2:19" ht="17" x14ac:dyDescent="0.2">
      <c r="B136" s="6" t="s">
        <v>506</v>
      </c>
      <c r="C136" s="4" t="s">
        <v>507</v>
      </c>
      <c r="D136" s="21">
        <f t="shared" ref="D136:M136" si="3">D$115*D$116*(1-D$135)</f>
        <v>540</v>
      </c>
      <c r="E136" s="21">
        <f t="shared" si="3"/>
        <v>945</v>
      </c>
      <c r="F136" s="21">
        <f t="shared" si="3"/>
        <v>1350</v>
      </c>
      <c r="G136" s="21">
        <f t="shared" si="3"/>
        <v>1350</v>
      </c>
      <c r="H136" s="21">
        <f t="shared" si="3"/>
        <v>1350</v>
      </c>
      <c r="I136" s="21">
        <f t="shared" si="3"/>
        <v>1350</v>
      </c>
      <c r="J136" s="21">
        <f t="shared" si="3"/>
        <v>1350</v>
      </c>
      <c r="K136" s="21">
        <f t="shared" si="3"/>
        <v>1350</v>
      </c>
      <c r="L136" s="21">
        <f t="shared" si="3"/>
        <v>1350</v>
      </c>
      <c r="M136" s="21">
        <f t="shared" si="3"/>
        <v>1350</v>
      </c>
      <c r="N136" s="52">
        <f>SUM(D136:M136)</f>
        <v>12285</v>
      </c>
      <c r="R136" s="4" t="s">
        <v>226</v>
      </c>
      <c r="S136" s="9" t="s">
        <v>124</v>
      </c>
    </row>
    <row r="137" spans="2:19" ht="17" x14ac:dyDescent="0.2">
      <c r="B137" s="6" t="s">
        <v>508</v>
      </c>
      <c r="C137" s="4" t="s">
        <v>460</v>
      </c>
      <c r="D137" s="21">
        <f t="shared" ref="D137:M137" si="4">IF($D$51="Weighed",D$117,IF($D$52&gt;0,D$136/$D$52,0))</f>
        <v>3600</v>
      </c>
      <c r="E137" s="21">
        <f t="shared" si="4"/>
        <v>6300</v>
      </c>
      <c r="F137" s="21">
        <f t="shared" si="4"/>
        <v>9000</v>
      </c>
      <c r="G137" s="21">
        <f t="shared" si="4"/>
        <v>9000</v>
      </c>
      <c r="H137" s="21">
        <f t="shared" si="4"/>
        <v>9000</v>
      </c>
      <c r="I137" s="21">
        <f t="shared" si="4"/>
        <v>9000</v>
      </c>
      <c r="J137" s="21">
        <f t="shared" si="4"/>
        <v>9000</v>
      </c>
      <c r="K137" s="21">
        <f t="shared" si="4"/>
        <v>9000</v>
      </c>
      <c r="L137" s="21">
        <f t="shared" si="4"/>
        <v>9000</v>
      </c>
      <c r="M137" s="21">
        <f t="shared" si="4"/>
        <v>9000</v>
      </c>
      <c r="N137" s="52">
        <f>SUM(D137:M137)</f>
        <v>81900</v>
      </c>
      <c r="R137" s="4" t="s">
        <v>226</v>
      </c>
      <c r="S137" s="9" t="s">
        <v>509</v>
      </c>
    </row>
    <row r="138" spans="2:19" ht="17" x14ac:dyDescent="0.2">
      <c r="B138" s="6" t="s">
        <v>510</v>
      </c>
      <c r="C138" s="4"/>
      <c r="D138" s="4" t="str">
        <f t="shared" ref="D138:M138" si="5">IF($D$53&lt;=0,"n/a",IF(D$137&gt;0,IF(D$136/D$137&gt;$D$53,"Above ceiling","OK"),"n/a"))</f>
        <v>OK</v>
      </c>
      <c r="E138" s="4" t="str">
        <f t="shared" si="5"/>
        <v>OK</v>
      </c>
      <c r="F138" s="4" t="str">
        <f t="shared" si="5"/>
        <v>OK</v>
      </c>
      <c r="G138" s="4" t="str">
        <f t="shared" si="5"/>
        <v>OK</v>
      </c>
      <c r="H138" s="4" t="str">
        <f t="shared" si="5"/>
        <v>OK</v>
      </c>
      <c r="I138" s="4" t="str">
        <f t="shared" si="5"/>
        <v>OK</v>
      </c>
      <c r="J138" s="4" t="str">
        <f t="shared" si="5"/>
        <v>OK</v>
      </c>
      <c r="K138" s="4" t="str">
        <f t="shared" si="5"/>
        <v>OK</v>
      </c>
      <c r="L138" s="4" t="str">
        <f t="shared" si="5"/>
        <v>OK</v>
      </c>
      <c r="M138" s="4" t="str">
        <f t="shared" si="5"/>
        <v>OK</v>
      </c>
      <c r="R138" s="4"/>
      <c r="S138" s="9" t="s">
        <v>511</v>
      </c>
    </row>
    <row r="139" spans="2:19" ht="30" customHeight="1" x14ac:dyDescent="0.2">
      <c r="B139" s="6" t="s">
        <v>512</v>
      </c>
      <c r="C139" s="4" t="s">
        <v>513</v>
      </c>
      <c r="D139" s="21">
        <f>D$136*$D$80*Defaults!$C$5</f>
        <v>1504.8000000000013</v>
      </c>
      <c r="E139" s="21">
        <f>E$136*$D$80*Defaults!$C$5</f>
        <v>2633.4000000000028</v>
      </c>
      <c r="F139" s="21">
        <f>F$136*$D$80*Defaults!$C$5</f>
        <v>3762.0000000000036</v>
      </c>
      <c r="G139" s="21">
        <f>G$136*$D$80*Defaults!$C$5</f>
        <v>3762.0000000000036</v>
      </c>
      <c r="H139" s="21">
        <f>H$136*$D$80*Defaults!$C$5</f>
        <v>3762.0000000000036</v>
      </c>
      <c r="I139" s="21">
        <f>I$136*$D$80*Defaults!$C$5</f>
        <v>3762.0000000000036</v>
      </c>
      <c r="J139" s="21">
        <f>J$136*$D$80*Defaults!$C$5</f>
        <v>3762.0000000000036</v>
      </c>
      <c r="K139" s="21">
        <f>K$136*$D$80*Defaults!$C$5</f>
        <v>3762.0000000000036</v>
      </c>
      <c r="L139" s="21">
        <f>L$136*$D$80*Defaults!$C$5</f>
        <v>3762.0000000000036</v>
      </c>
      <c r="M139" s="21">
        <f>M$136*$D$80*Defaults!$C$5</f>
        <v>3762.0000000000036</v>
      </c>
      <c r="N139" s="52">
        <f>SUM(D139:M139)</f>
        <v>34234.200000000033</v>
      </c>
      <c r="R139" s="4" t="s">
        <v>221</v>
      </c>
      <c r="S139" s="9" t="s">
        <v>514</v>
      </c>
    </row>
    <row r="140" spans="2:19" ht="17" x14ac:dyDescent="0.2">
      <c r="B140" s="35" t="s">
        <v>227</v>
      </c>
      <c r="C140" s="2" t="s">
        <v>515</v>
      </c>
      <c r="D140" s="26">
        <f t="shared" ref="D140:M140" si="6">D$139*$D$88*(1-$D$91)*(1-$D$36)</f>
        <v>1148.7944160000009</v>
      </c>
      <c r="E140" s="26">
        <f t="shared" si="6"/>
        <v>2010.3902280000018</v>
      </c>
      <c r="F140" s="26">
        <f t="shared" si="6"/>
        <v>2871.9860400000025</v>
      </c>
      <c r="G140" s="26">
        <f t="shared" si="6"/>
        <v>2871.9860400000025</v>
      </c>
      <c r="H140" s="26">
        <f t="shared" si="6"/>
        <v>2871.9860400000025</v>
      </c>
      <c r="I140" s="26">
        <f t="shared" si="6"/>
        <v>2871.9860400000025</v>
      </c>
      <c r="J140" s="26">
        <f t="shared" si="6"/>
        <v>2871.9860400000025</v>
      </c>
      <c r="K140" s="26">
        <f t="shared" si="6"/>
        <v>2871.9860400000025</v>
      </c>
      <c r="L140" s="26">
        <f t="shared" si="6"/>
        <v>2871.9860400000025</v>
      </c>
      <c r="M140" s="26">
        <f t="shared" si="6"/>
        <v>2871.9860400000025</v>
      </c>
      <c r="N140" s="26">
        <f>SUM(D140:M140)</f>
        <v>26135.072964000028</v>
      </c>
      <c r="R140" s="2" t="s">
        <v>221</v>
      </c>
      <c r="S140" s="27" t="s">
        <v>516</v>
      </c>
    </row>
    <row r="142" spans="2:19" ht="16" x14ac:dyDescent="0.2">
      <c r="B142" s="49" t="s">
        <v>203</v>
      </c>
    </row>
    <row r="143" spans="2:19" ht="17" x14ac:dyDescent="0.2">
      <c r="B143" s="6" t="s">
        <v>517</v>
      </c>
      <c r="C143" s="4" t="s">
        <v>518</v>
      </c>
      <c r="D143" s="57">
        <f>IF(LEFT($D$97,8)="Option A",IF($D$54="Moist (&gt; 24%) — not creditable",0,D$136*$D$98),IF(LEFT($D$97,8)="Option B",D$136*$D$100,IF(LEFT($D$97,7)="Track 2",D$120*Defaults!$C$22,D$121)))*$D$29</f>
        <v>83.16</v>
      </c>
      <c r="E143" s="57">
        <f>IF(LEFT($D$97,8)="Option A",IF($D$54="Moist (&gt; 24%) — not creditable",0,E$136*$D$98),IF(LEFT($D$97,8)="Option B",E$136*$D$100,IF(LEFT($D$97,7)="Track 2",E$120*Defaults!$C$22,E$121)))*$D$29</f>
        <v>145.53</v>
      </c>
      <c r="F143" s="57">
        <f>IF(LEFT($D$97,8)="Option A",IF($D$54="Moist (&gt; 24%) — not creditable",0,F$136*$D$98),IF(LEFT($D$97,8)="Option B",F$136*$D$100,IF(LEFT($D$97,7)="Track 2",F$120*Defaults!$C$22,F$121)))*$D$29</f>
        <v>207.9</v>
      </c>
      <c r="G143" s="57">
        <f>IF(LEFT($D$97,8)="Option A",IF($D$54="Moist (&gt; 24%) — not creditable",0,G$136*$D$98),IF(LEFT($D$97,8)="Option B",G$136*$D$100,IF(LEFT($D$97,7)="Track 2",G$120*Defaults!$C$22,G$121)))*$D$29</f>
        <v>207.9</v>
      </c>
      <c r="H143" s="57">
        <f>IF(LEFT($D$97,8)="Option A",IF($D$54="Moist (&gt; 24%) — not creditable",0,H$136*$D$98),IF(LEFT($D$97,8)="Option B",H$136*$D$100,IF(LEFT($D$97,7)="Track 2",H$120*Defaults!$C$22,H$121)))*$D$29</f>
        <v>207.9</v>
      </c>
      <c r="I143" s="57">
        <f>IF(LEFT($D$97,8)="Option A",IF($D$54="Moist (&gt; 24%) — not creditable",0,I$136*$D$98),IF(LEFT($D$97,8)="Option B",I$136*$D$100,IF(LEFT($D$97,7)="Track 2",I$120*Defaults!$C$22,I$121)))*$D$29</f>
        <v>207.9</v>
      </c>
      <c r="J143" s="57">
        <f>IF(LEFT($D$97,8)="Option A",IF($D$54="Moist (&gt; 24%) — not creditable",0,J$136*$D$98),IF(LEFT($D$97,8)="Option B",J$136*$D$100,IF(LEFT($D$97,7)="Track 2",J$120*Defaults!$C$22,J$121)))*$D$29</f>
        <v>207.9</v>
      </c>
      <c r="K143" s="57">
        <f>IF(LEFT($D$97,8)="Option A",IF($D$54="Moist (&gt; 24%) — not creditable",0,K$136*$D$98),IF(LEFT($D$97,8)="Option B",K$136*$D$100,IF(LEFT($D$97,7)="Track 2",K$120*Defaults!$C$22,K$121)))*$D$29</f>
        <v>207.9</v>
      </c>
      <c r="L143" s="57">
        <f>IF(LEFT($D$97,8)="Option A",IF($D$54="Moist (&gt; 24%) — not creditable",0,L$136*$D$98),IF(LEFT($D$97,8)="Option B",L$136*$D$100,IF(LEFT($D$97,7)="Track 2",L$120*Defaults!$C$22,L$121)))*$D$29</f>
        <v>207.9</v>
      </c>
      <c r="M143" s="57">
        <f>IF(LEFT($D$97,8)="Option A",IF($D$54="Moist (&gt; 24%) — not creditable",0,M$136*$D$98),IF(LEFT($D$97,8)="Option B",M$136*$D$100,IF(LEFT($D$97,7)="Track 2",M$120*Defaults!$C$22,M$121)))*$D$29</f>
        <v>207.9</v>
      </c>
      <c r="N143" s="54">
        <f t="shared" ref="N143:N151" si="7">SUM(D143:M143)</f>
        <v>1891.8900000000003</v>
      </c>
      <c r="R143" s="4" t="s">
        <v>221</v>
      </c>
      <c r="S143" s="9" t="s">
        <v>142</v>
      </c>
    </row>
    <row r="144" spans="2:19" ht="17" x14ac:dyDescent="0.2">
      <c r="B144" s="6" t="s">
        <v>519</v>
      </c>
      <c r="C144" s="4" t="s">
        <v>520</v>
      </c>
      <c r="D144" s="57">
        <f>IF(LEFT($D$104,9)="Small-hub",D$137*Defaults!$C$19,D$122*$D$101+D$123*$D$102)</f>
        <v>0</v>
      </c>
      <c r="E144" s="57">
        <f>IF(LEFT($D$104,9)="Small-hub",E$137*Defaults!$C$19,E$122*$D$101+E$123*$D$102)</f>
        <v>0</v>
      </c>
      <c r="F144" s="57">
        <f>IF(LEFT($D$104,9)="Small-hub",F$137*Defaults!$C$19,F$122*$D$101+F$123*$D$102)</f>
        <v>0</v>
      </c>
      <c r="G144" s="57">
        <f>IF(LEFT($D$104,9)="Small-hub",G$137*Defaults!$C$19,G$122*$D$101+G$123*$D$102)</f>
        <v>0</v>
      </c>
      <c r="H144" s="57">
        <f>IF(LEFT($D$104,9)="Small-hub",H$137*Defaults!$C$19,H$122*$D$101+H$123*$D$102)</f>
        <v>0</v>
      </c>
      <c r="I144" s="57">
        <f>IF(LEFT($D$104,9)="Small-hub",I$137*Defaults!$C$19,I$122*$D$101+I$123*$D$102)</f>
        <v>0</v>
      </c>
      <c r="J144" s="57">
        <f>IF(LEFT($D$104,9)="Small-hub",J$137*Defaults!$C$19,J$122*$D$101+J$123*$D$102)</f>
        <v>0</v>
      </c>
      <c r="K144" s="57">
        <f>IF(LEFT($D$104,9)="Small-hub",K$137*Defaults!$C$19,K$122*$D$101+K$123*$D$102)</f>
        <v>0</v>
      </c>
      <c r="L144" s="57">
        <f>IF(LEFT($D$104,9)="Small-hub",L$137*Defaults!$C$19,L$122*$D$101+L$123*$D$102)</f>
        <v>0</v>
      </c>
      <c r="M144" s="57">
        <f>IF(LEFT($D$104,9)="Small-hub",M$137*Defaults!$C$19,M$122*$D$101+M$123*$D$102)</f>
        <v>0</v>
      </c>
      <c r="N144" s="54">
        <f t="shared" si="7"/>
        <v>0</v>
      </c>
      <c r="R144" s="4" t="s">
        <v>221</v>
      </c>
      <c r="S144" s="9" t="s">
        <v>137</v>
      </c>
    </row>
    <row r="145" spans="2:19" ht="17" x14ac:dyDescent="0.2">
      <c r="B145" s="6" t="s">
        <v>521</v>
      </c>
      <c r="C145" s="4" t="s">
        <v>466</v>
      </c>
      <c r="D145" s="57">
        <f>IF(LEFT($D$69,7)="Default",D$137*$D$70*Defaults!$C$24*Defaults!$C$25*$D$29*MAX(0,D$118),IF(LEFT($D$69,8)="Activity",D$119,0))</f>
        <v>0</v>
      </c>
      <c r="E145" s="57">
        <f>IF(LEFT($D$69,7)="Default",E$137*$D$70*Defaults!$C$24*Defaults!$C$25*$D$29*MAX(0,E$118),IF(LEFT($D$69,8)="Activity",E$119,0))</f>
        <v>0</v>
      </c>
      <c r="F145" s="57">
        <f>IF(LEFT($D$69,7)="Default",F$137*$D$70*Defaults!$C$24*Defaults!$C$25*$D$29*MAX(0,F$118),IF(LEFT($D$69,8)="Activity",F$119,0))</f>
        <v>0</v>
      </c>
      <c r="G145" s="57">
        <f>IF(LEFT($D$69,7)="Default",G$137*$D$70*Defaults!$C$24*Defaults!$C$25*$D$29*MAX(0,G$118),IF(LEFT($D$69,8)="Activity",G$119,0))</f>
        <v>0</v>
      </c>
      <c r="H145" s="57">
        <f>IF(LEFT($D$69,7)="Default",H$137*$D$70*Defaults!$C$24*Defaults!$C$25*$D$29*MAX(0,H$118),IF(LEFT($D$69,8)="Activity",H$119,0))</f>
        <v>0</v>
      </c>
      <c r="I145" s="57">
        <f>IF(LEFT($D$69,7)="Default",I$137*$D$70*Defaults!$C$24*Defaults!$C$25*$D$29*MAX(0,I$118),IF(LEFT($D$69,8)="Activity",I$119,0))</f>
        <v>0</v>
      </c>
      <c r="J145" s="57">
        <f>IF(LEFT($D$69,7)="Default",J$137*$D$70*Defaults!$C$24*Defaults!$C$25*$D$29*MAX(0,J$118),IF(LEFT($D$69,8)="Activity",J$119,0))</f>
        <v>0</v>
      </c>
      <c r="K145" s="57">
        <f>IF(LEFT($D$69,7)="Default",K$137*$D$70*Defaults!$C$24*Defaults!$C$25*$D$29*MAX(0,K$118),IF(LEFT($D$69,8)="Activity",K$119,0))</f>
        <v>0</v>
      </c>
      <c r="L145" s="57">
        <f>IF(LEFT($D$69,7)="Default",L$137*$D$70*Defaults!$C$24*Defaults!$C$25*$D$29*MAX(0,L$118),IF(LEFT($D$69,8)="Activity",L$119,0))</f>
        <v>0</v>
      </c>
      <c r="M145" s="57">
        <f>IF(LEFT($D$69,7)="Default",M$137*$D$70*Defaults!$C$24*Defaults!$C$25*$D$29*MAX(0,M$118),IF(LEFT($D$69,8)="Activity",M$119,0))</f>
        <v>0</v>
      </c>
      <c r="N145" s="54">
        <f t="shared" si="7"/>
        <v>0</v>
      </c>
      <c r="R145" s="4" t="s">
        <v>221</v>
      </c>
      <c r="S145" s="9" t="s">
        <v>137</v>
      </c>
    </row>
    <row r="146" spans="2:19" ht="17" x14ac:dyDescent="0.2">
      <c r="B146" s="6" t="s">
        <v>522</v>
      </c>
      <c r="C146" s="4" t="s">
        <v>482</v>
      </c>
      <c r="D146" s="57">
        <f t="shared" ref="D146:M146" si="8">D$124</f>
        <v>0</v>
      </c>
      <c r="E146" s="57">
        <f t="shared" si="8"/>
        <v>0</v>
      </c>
      <c r="F146" s="57">
        <f t="shared" si="8"/>
        <v>0</v>
      </c>
      <c r="G146" s="57">
        <f t="shared" si="8"/>
        <v>0</v>
      </c>
      <c r="H146" s="57">
        <f t="shared" si="8"/>
        <v>0</v>
      </c>
      <c r="I146" s="57">
        <f t="shared" si="8"/>
        <v>0</v>
      </c>
      <c r="J146" s="57">
        <f t="shared" si="8"/>
        <v>0</v>
      </c>
      <c r="K146" s="57">
        <f t="shared" si="8"/>
        <v>0</v>
      </c>
      <c r="L146" s="57">
        <f t="shared" si="8"/>
        <v>0</v>
      </c>
      <c r="M146" s="57">
        <f t="shared" si="8"/>
        <v>0</v>
      </c>
      <c r="N146" s="54">
        <f t="shared" si="7"/>
        <v>0</v>
      </c>
      <c r="R146" s="4" t="s">
        <v>221</v>
      </c>
      <c r="S146" s="9" t="s">
        <v>483</v>
      </c>
    </row>
    <row r="147" spans="2:19" ht="17" x14ac:dyDescent="0.2">
      <c r="B147" s="6" t="s">
        <v>523</v>
      </c>
      <c r="C147" s="4" t="s">
        <v>524</v>
      </c>
      <c r="D147" s="57">
        <f t="shared" ref="D147:M147" si="9">D$125*$D$101+D$126*$D$102</f>
        <v>0</v>
      </c>
      <c r="E147" s="57">
        <f t="shared" si="9"/>
        <v>0</v>
      </c>
      <c r="F147" s="57">
        <f t="shared" si="9"/>
        <v>0</v>
      </c>
      <c r="G147" s="57">
        <f t="shared" si="9"/>
        <v>0</v>
      </c>
      <c r="H147" s="57">
        <f t="shared" si="9"/>
        <v>0</v>
      </c>
      <c r="I147" s="57">
        <f t="shared" si="9"/>
        <v>0</v>
      </c>
      <c r="J147" s="57">
        <f t="shared" si="9"/>
        <v>0</v>
      </c>
      <c r="K147" s="57">
        <f t="shared" si="9"/>
        <v>0</v>
      </c>
      <c r="L147" s="57">
        <f t="shared" si="9"/>
        <v>0</v>
      </c>
      <c r="M147" s="57">
        <f t="shared" si="9"/>
        <v>0</v>
      </c>
      <c r="N147" s="54">
        <f t="shared" si="7"/>
        <v>0</v>
      </c>
      <c r="R147" s="4" t="s">
        <v>221</v>
      </c>
      <c r="S147" s="9" t="s">
        <v>142</v>
      </c>
    </row>
    <row r="148" spans="2:19" ht="17" x14ac:dyDescent="0.2">
      <c r="B148" s="6" t="s">
        <v>525</v>
      </c>
      <c r="C148" s="4" t="s">
        <v>526</v>
      </c>
      <c r="D148" s="57">
        <f t="shared" ref="D148:M148" si="10">D$127*$D$103</f>
        <v>1.08</v>
      </c>
      <c r="E148" s="57">
        <f t="shared" si="10"/>
        <v>1.8900000000000001</v>
      </c>
      <c r="F148" s="57">
        <f t="shared" si="10"/>
        <v>2.7</v>
      </c>
      <c r="G148" s="57">
        <f t="shared" si="10"/>
        <v>2.7</v>
      </c>
      <c r="H148" s="57">
        <f t="shared" si="10"/>
        <v>2.7</v>
      </c>
      <c r="I148" s="57">
        <f t="shared" si="10"/>
        <v>2.7</v>
      </c>
      <c r="J148" s="57">
        <f t="shared" si="10"/>
        <v>2.7</v>
      </c>
      <c r="K148" s="57">
        <f t="shared" si="10"/>
        <v>2.7</v>
      </c>
      <c r="L148" s="57">
        <f t="shared" si="10"/>
        <v>2.7</v>
      </c>
      <c r="M148" s="57">
        <f t="shared" si="10"/>
        <v>2.7</v>
      </c>
      <c r="N148" s="54">
        <f t="shared" si="7"/>
        <v>24.569999999999997</v>
      </c>
      <c r="R148" s="4" t="s">
        <v>221</v>
      </c>
      <c r="S148" s="9" t="s">
        <v>146</v>
      </c>
    </row>
    <row r="149" spans="2:19" ht="17" x14ac:dyDescent="0.2">
      <c r="B149" s="6" t="s">
        <v>527</v>
      </c>
      <c r="C149" s="4" t="s">
        <v>528</v>
      </c>
      <c r="D149" s="57">
        <f t="shared" ref="D149:M149" si="11">D$128*$D$101+D$129</f>
        <v>0</v>
      </c>
      <c r="E149" s="57">
        <f t="shared" si="11"/>
        <v>0</v>
      </c>
      <c r="F149" s="57">
        <f t="shared" si="11"/>
        <v>0</v>
      </c>
      <c r="G149" s="57">
        <f t="shared" si="11"/>
        <v>0</v>
      </c>
      <c r="H149" s="57">
        <f t="shared" si="11"/>
        <v>0</v>
      </c>
      <c r="I149" s="57">
        <f t="shared" si="11"/>
        <v>0</v>
      </c>
      <c r="J149" s="57">
        <f t="shared" si="11"/>
        <v>0</v>
      </c>
      <c r="K149" s="57">
        <f t="shared" si="11"/>
        <v>0</v>
      </c>
      <c r="L149" s="57">
        <f t="shared" si="11"/>
        <v>0</v>
      </c>
      <c r="M149" s="57">
        <f t="shared" si="11"/>
        <v>0</v>
      </c>
      <c r="N149" s="54">
        <f t="shared" si="7"/>
        <v>0</v>
      </c>
      <c r="R149" s="4" t="s">
        <v>221</v>
      </c>
      <c r="S149" s="9" t="s">
        <v>149</v>
      </c>
    </row>
    <row r="150" spans="2:19" ht="17" x14ac:dyDescent="0.2">
      <c r="B150" s="6" t="s">
        <v>529</v>
      </c>
      <c r="C150" s="4"/>
      <c r="D150" s="57">
        <f t="shared" ref="D150:M150" si="12">D$143+D$144+D$145+D$146+D$147+D$148+D$149</f>
        <v>84.24</v>
      </c>
      <c r="E150" s="57">
        <f t="shared" si="12"/>
        <v>147.41999999999999</v>
      </c>
      <c r="F150" s="57">
        <f t="shared" si="12"/>
        <v>210.6</v>
      </c>
      <c r="G150" s="57">
        <f t="shared" si="12"/>
        <v>210.6</v>
      </c>
      <c r="H150" s="57">
        <f t="shared" si="12"/>
        <v>210.6</v>
      </c>
      <c r="I150" s="57">
        <f t="shared" si="12"/>
        <v>210.6</v>
      </c>
      <c r="J150" s="57">
        <f t="shared" si="12"/>
        <v>210.6</v>
      </c>
      <c r="K150" s="57">
        <f t="shared" si="12"/>
        <v>210.6</v>
      </c>
      <c r="L150" s="57">
        <f t="shared" si="12"/>
        <v>210.6</v>
      </c>
      <c r="M150" s="57">
        <f t="shared" si="12"/>
        <v>210.6</v>
      </c>
      <c r="N150" s="54">
        <f t="shared" si="7"/>
        <v>1916.4599999999996</v>
      </c>
      <c r="R150" s="4" t="s">
        <v>221</v>
      </c>
      <c r="S150" s="9" t="s">
        <v>134</v>
      </c>
    </row>
    <row r="151" spans="2:19" ht="17" x14ac:dyDescent="0.2">
      <c r="B151" s="35" t="s">
        <v>228</v>
      </c>
      <c r="C151" s="2" t="s">
        <v>530</v>
      </c>
      <c r="D151" s="26">
        <f t="shared" ref="D151:M151" si="13">D$150*(1+$D$37)</f>
        <v>88.451999999999998</v>
      </c>
      <c r="E151" s="26">
        <f t="shared" si="13"/>
        <v>154.791</v>
      </c>
      <c r="F151" s="26">
        <f t="shared" si="13"/>
        <v>221.13</v>
      </c>
      <c r="G151" s="26">
        <f t="shared" si="13"/>
        <v>221.13</v>
      </c>
      <c r="H151" s="26">
        <f t="shared" si="13"/>
        <v>221.13</v>
      </c>
      <c r="I151" s="26">
        <f t="shared" si="13"/>
        <v>221.13</v>
      </c>
      <c r="J151" s="26">
        <f t="shared" si="13"/>
        <v>221.13</v>
      </c>
      <c r="K151" s="26">
        <f t="shared" si="13"/>
        <v>221.13</v>
      </c>
      <c r="L151" s="26">
        <f t="shared" si="13"/>
        <v>221.13</v>
      </c>
      <c r="M151" s="26">
        <f t="shared" si="13"/>
        <v>221.13</v>
      </c>
      <c r="N151" s="26">
        <f t="shared" si="7"/>
        <v>2012.2830000000004</v>
      </c>
      <c r="R151" s="2" t="s">
        <v>221</v>
      </c>
      <c r="S151" s="27" t="s">
        <v>531</v>
      </c>
    </row>
    <row r="153" spans="2:19" ht="16" x14ac:dyDescent="0.2">
      <c r="B153" s="49" t="s">
        <v>204</v>
      </c>
    </row>
    <row r="154" spans="2:19" ht="30" customHeight="1" x14ac:dyDescent="0.2">
      <c r="B154" s="6" t="s">
        <v>532</v>
      </c>
      <c r="C154" s="4" t="s">
        <v>432</v>
      </c>
      <c r="D154" s="57">
        <f>IF($D$109="Option B (inventory)",IF(1&lt;=$D$25,$D$108*D$115,0),IF(1&lt;=$D$25,D$136*IF($D$21="Track 1",Defaults!$C$20,Defaults!$C$21),0))</f>
        <v>10.8</v>
      </c>
      <c r="E154" s="57">
        <f>IF($D$109="Option B (inventory)",IF(2&lt;=$D$25,$D$108*E$115,0),IF(2&lt;=$D$25,E$136*IF($D$21="Track 1",Defaults!$C$20,Defaults!$C$21),0))</f>
        <v>18.900000000000002</v>
      </c>
      <c r="F154" s="57">
        <f>IF($D$109="Option B (inventory)",IF(3&lt;=$D$25,$D$108*F$115,0),IF(3&lt;=$D$25,F$136*IF($D$21="Track 1",Defaults!$C$20,Defaults!$C$21),0))</f>
        <v>27</v>
      </c>
      <c r="G154" s="57">
        <f>IF($D$109="Option B (inventory)",IF(4&lt;=$D$25,$D$108*G$115,0),IF(4&lt;=$D$25,G$136*IF($D$21="Track 1",Defaults!$C$20,Defaults!$C$21),0))</f>
        <v>27</v>
      </c>
      <c r="H154" s="57">
        <f>IF($D$109="Option B (inventory)",IF(5&lt;=$D$25,$D$108*H$115,0),IF(5&lt;=$D$25,H$136*IF($D$21="Track 1",Defaults!$C$20,Defaults!$C$21),0))</f>
        <v>27</v>
      </c>
      <c r="I154" s="57">
        <f>IF($D$109="Option B (inventory)",IF(6&lt;=$D$25,$D$108*I$115,0),IF(6&lt;=$D$25,I$136*IF($D$21="Track 1",Defaults!$C$20,Defaults!$C$21),0))</f>
        <v>0</v>
      </c>
      <c r="J154" s="57">
        <f>IF($D$109="Option B (inventory)",IF(7&lt;=$D$25,$D$108*J$115,0),IF(7&lt;=$D$25,J$136*IF($D$21="Track 1",Defaults!$C$20,Defaults!$C$21),0))</f>
        <v>0</v>
      </c>
      <c r="K154" s="57">
        <f>IF($D$109="Option B (inventory)",IF(8&lt;=$D$25,$D$108*K$115,0),IF(8&lt;=$D$25,K$136*IF($D$21="Track 1",Defaults!$C$20,Defaults!$C$21),0))</f>
        <v>0</v>
      </c>
      <c r="L154" s="57">
        <f>IF($D$109="Option B (inventory)",IF(9&lt;=$D$25,$D$108*L$115,0),IF(9&lt;=$D$25,L$136*IF($D$21="Track 1",Defaults!$C$20,Defaults!$C$21),0))</f>
        <v>0</v>
      </c>
      <c r="M154" s="57">
        <f>IF($D$109="Option B (inventory)",IF(10&lt;=$D$25,$D$108*M$115,0),IF(10&lt;=$D$25,M$136*IF($D$21="Track 1",Defaults!$C$20,Defaults!$C$21),0))</f>
        <v>0</v>
      </c>
      <c r="N154" s="54">
        <f t="shared" ref="N154:N159" si="14">SUM(D154:M154)</f>
        <v>110.7</v>
      </c>
      <c r="R154" s="4" t="s">
        <v>221</v>
      </c>
      <c r="S154" s="9" t="s">
        <v>436</v>
      </c>
    </row>
    <row r="155" spans="2:19" ht="17" x14ac:dyDescent="0.2">
      <c r="B155" s="6" t="s">
        <v>533</v>
      </c>
      <c r="C155" s="4" t="s">
        <v>534</v>
      </c>
      <c r="D155" s="57">
        <f>IF($D$55="Yes",0,D$130*IF(LEFT($D$56,6)="Fodder",$D$57,INDEX(Defaults!$C$74:$C$79,MATCH($D$56,Defaults!$B$74:$B$79,0))))</f>
        <v>0</v>
      </c>
      <c r="E155" s="57">
        <f>IF($D$55="Yes",0,E$130*IF(LEFT($D$56,6)="Fodder",$D$57,INDEX(Defaults!$C$74:$C$79,MATCH($D$56,Defaults!$B$74:$B$79,0))))</f>
        <v>0</v>
      </c>
      <c r="F155" s="57">
        <f>IF($D$55="Yes",0,F$130*IF(LEFT($D$56,6)="Fodder",$D$57,INDEX(Defaults!$C$74:$C$79,MATCH($D$56,Defaults!$B$74:$B$79,0))))</f>
        <v>0</v>
      </c>
      <c r="G155" s="57">
        <f>IF($D$55="Yes",0,G$130*IF(LEFT($D$56,6)="Fodder",$D$57,INDEX(Defaults!$C$74:$C$79,MATCH($D$56,Defaults!$B$74:$B$79,0))))</f>
        <v>0</v>
      </c>
      <c r="H155" s="57">
        <f>IF($D$55="Yes",0,H$130*IF(LEFT($D$56,6)="Fodder",$D$57,INDEX(Defaults!$C$74:$C$79,MATCH($D$56,Defaults!$B$74:$B$79,0))))</f>
        <v>0</v>
      </c>
      <c r="I155" s="57">
        <f>IF($D$55="Yes",0,I$130*IF(LEFT($D$56,6)="Fodder",$D$57,INDEX(Defaults!$C$74:$C$79,MATCH($D$56,Defaults!$B$74:$B$79,0))))</f>
        <v>0</v>
      </c>
      <c r="J155" s="57">
        <f>IF($D$55="Yes",0,J$130*IF(LEFT($D$56,6)="Fodder",$D$57,INDEX(Defaults!$C$74:$C$79,MATCH($D$56,Defaults!$B$74:$B$79,0))))</f>
        <v>0</v>
      </c>
      <c r="K155" s="57">
        <f>IF($D$55="Yes",0,K$130*IF(LEFT($D$56,6)="Fodder",$D$57,INDEX(Defaults!$C$74:$C$79,MATCH($D$56,Defaults!$B$74:$B$79,0))))</f>
        <v>0</v>
      </c>
      <c r="L155" s="57">
        <f>IF($D$55="Yes",0,L$130*IF(LEFT($D$56,6)="Fodder",$D$57,INDEX(Defaults!$C$74:$C$79,MATCH($D$56,Defaults!$B$74:$B$79,0))))</f>
        <v>0</v>
      </c>
      <c r="M155" s="57">
        <f>IF($D$55="Yes",0,M$130*IF(LEFT($D$56,6)="Fodder",$D$57,INDEX(Defaults!$C$74:$C$79,MATCH($D$56,Defaults!$B$74:$B$79,0))))</f>
        <v>0</v>
      </c>
      <c r="N155" s="54">
        <f t="shared" si="14"/>
        <v>0</v>
      </c>
      <c r="R155" s="4" t="s">
        <v>221</v>
      </c>
      <c r="S155" s="9" t="s">
        <v>535</v>
      </c>
    </row>
    <row r="156" spans="2:19" ht="30" customHeight="1" x14ac:dyDescent="0.2">
      <c r="B156" s="6" t="s">
        <v>536</v>
      </c>
      <c r="C156" s="4"/>
      <c r="D156" s="57">
        <f>IF(AND(LEFT($D$23,2)="F1",LEFT($D$58,8)="Retained"),D$137*Defaults!$C$32,0)</f>
        <v>0</v>
      </c>
      <c r="E156" s="57">
        <f>IF(AND(LEFT($D$23,2)="F1",LEFT($D$58,8)="Retained"),E$137*Defaults!$C$32,0)</f>
        <v>0</v>
      </c>
      <c r="F156" s="57">
        <f>IF(AND(LEFT($D$23,2)="F1",LEFT($D$58,8)="Retained"),F$137*Defaults!$C$32,0)</f>
        <v>0</v>
      </c>
      <c r="G156" s="57">
        <f>IF(AND(LEFT($D$23,2)="F1",LEFT($D$58,8)="Retained"),G$137*Defaults!$C$32,0)</f>
        <v>0</v>
      </c>
      <c r="H156" s="57">
        <f>IF(AND(LEFT($D$23,2)="F1",LEFT($D$58,8)="Retained"),H$137*Defaults!$C$32,0)</f>
        <v>0</v>
      </c>
      <c r="I156" s="57">
        <f>IF(AND(LEFT($D$23,2)="F1",LEFT($D$58,8)="Retained"),I$137*Defaults!$C$32,0)</f>
        <v>0</v>
      </c>
      <c r="J156" s="57">
        <f>IF(AND(LEFT($D$23,2)="F1",LEFT($D$58,8)="Retained"),J$137*Defaults!$C$32,0)</f>
        <v>0</v>
      </c>
      <c r="K156" s="57">
        <f>IF(AND(LEFT($D$23,2)="F1",LEFT($D$58,8)="Retained"),K$137*Defaults!$C$32,0)</f>
        <v>0</v>
      </c>
      <c r="L156" s="57">
        <f>IF(AND(LEFT($D$23,2)="F1",LEFT($D$58,8)="Retained"),L$137*Defaults!$C$32,0)</f>
        <v>0</v>
      </c>
      <c r="M156" s="57">
        <f>IF(AND(LEFT($D$23,2)="F1",LEFT($D$58,8)="Retained"),M$137*Defaults!$C$32,0)</f>
        <v>0</v>
      </c>
      <c r="N156" s="54">
        <f t="shared" si="14"/>
        <v>0</v>
      </c>
      <c r="R156" s="4" t="s">
        <v>221</v>
      </c>
      <c r="S156" s="9" t="s">
        <v>537</v>
      </c>
    </row>
    <row r="157" spans="2:19" ht="30" customHeight="1" x14ac:dyDescent="0.2">
      <c r="B157" s="6" t="s">
        <v>538</v>
      </c>
      <c r="C157" s="4"/>
      <c r="D157" s="57">
        <f>IF(LEFT($D$23,2)&lt;&gt;"F1",0,IF(LEFT($D$58,7)="Removed",0,D$137*(IF(LEFT($D$58,8)="Retained",$D$65*Defaults!$C$33,0)+(1-$D$68)*($D$66*Defaults!$C$43+$D$67*Defaults!$C$44))))</f>
        <v>0</v>
      </c>
      <c r="E157" s="57">
        <f>IF(LEFT($D$23,2)&lt;&gt;"F1",0,IF(LEFT($D$58,7)="Removed",0,E$137*(IF(LEFT($D$58,8)="Retained",$D$65*Defaults!$C$33,0)+(1-$D$68)*($D$66*Defaults!$C$43+$D$67*Defaults!$C$44))))</f>
        <v>0</v>
      </c>
      <c r="F157" s="57">
        <f>IF(LEFT($D$23,2)&lt;&gt;"F1",0,IF(LEFT($D$58,7)="Removed",0,F$137*(IF(LEFT($D$58,8)="Retained",$D$65*Defaults!$C$33,0)+(1-$D$68)*($D$66*Defaults!$C$43+$D$67*Defaults!$C$44))))</f>
        <v>0</v>
      </c>
      <c r="G157" s="57">
        <f>IF(LEFT($D$23,2)&lt;&gt;"F1",0,IF(LEFT($D$58,7)="Removed",0,G$137*(IF(LEFT($D$58,8)="Retained",$D$65*Defaults!$C$33,0)+(1-$D$68)*($D$66*Defaults!$C$43+$D$67*Defaults!$C$44))))</f>
        <v>0</v>
      </c>
      <c r="H157" s="57">
        <f>IF(LEFT($D$23,2)&lt;&gt;"F1",0,IF(LEFT($D$58,7)="Removed",0,H$137*(IF(LEFT($D$58,8)="Retained",$D$65*Defaults!$C$33,0)+(1-$D$68)*($D$66*Defaults!$C$43+$D$67*Defaults!$C$44))))</f>
        <v>0</v>
      </c>
      <c r="I157" s="57">
        <f>IF(LEFT($D$23,2)&lt;&gt;"F1",0,IF(LEFT($D$58,7)="Removed",0,I$137*(IF(LEFT($D$58,8)="Retained",$D$65*Defaults!$C$33,0)+(1-$D$68)*($D$66*Defaults!$C$43+$D$67*Defaults!$C$44))))</f>
        <v>0</v>
      </c>
      <c r="J157" s="57">
        <f>IF(LEFT($D$23,2)&lt;&gt;"F1",0,IF(LEFT($D$58,7)="Removed",0,J$137*(IF(LEFT($D$58,8)="Retained",$D$65*Defaults!$C$33,0)+(1-$D$68)*($D$66*Defaults!$C$43+$D$67*Defaults!$C$44))))</f>
        <v>0</v>
      </c>
      <c r="K157" s="57">
        <f>IF(LEFT($D$23,2)&lt;&gt;"F1",0,IF(LEFT($D$58,7)="Removed",0,K$137*(IF(LEFT($D$58,8)="Retained",$D$65*Defaults!$C$33,0)+(1-$D$68)*($D$66*Defaults!$C$43+$D$67*Defaults!$C$44))))</f>
        <v>0</v>
      </c>
      <c r="L157" s="57">
        <f>IF(LEFT($D$23,2)&lt;&gt;"F1",0,IF(LEFT($D$58,7)="Removed",0,L$137*(IF(LEFT($D$58,8)="Retained",$D$65*Defaults!$C$33,0)+(1-$D$68)*($D$66*Defaults!$C$43+$D$67*Defaults!$C$44))))</f>
        <v>0</v>
      </c>
      <c r="M157" s="57">
        <f>IF(LEFT($D$23,2)&lt;&gt;"F1",0,IF(LEFT($D$58,7)="Removed",0,M$137*(IF(LEFT($D$58,8)="Retained",$D$65*Defaults!$C$33,0)+(1-$D$68)*($D$66*Defaults!$C$43+$D$67*Defaults!$C$44))))</f>
        <v>0</v>
      </c>
      <c r="N157" s="54">
        <f t="shared" si="14"/>
        <v>0</v>
      </c>
      <c r="R157" s="4" t="s">
        <v>221</v>
      </c>
      <c r="S157" s="9" t="s">
        <v>539</v>
      </c>
    </row>
    <row r="158" spans="2:19" ht="17" x14ac:dyDescent="0.2">
      <c r="B158" s="6" t="s">
        <v>540</v>
      </c>
      <c r="C158" s="4"/>
      <c r="D158" s="57">
        <f t="shared" ref="D158:M158" si="15">D$154+D$155+D$156+D$157</f>
        <v>10.8</v>
      </c>
      <c r="E158" s="57">
        <f t="shared" si="15"/>
        <v>18.900000000000002</v>
      </c>
      <c r="F158" s="57">
        <f t="shared" si="15"/>
        <v>27</v>
      </c>
      <c r="G158" s="57">
        <f t="shared" si="15"/>
        <v>27</v>
      </c>
      <c r="H158" s="57">
        <f t="shared" si="15"/>
        <v>27</v>
      </c>
      <c r="I158" s="57">
        <f t="shared" si="15"/>
        <v>0</v>
      </c>
      <c r="J158" s="57">
        <f t="shared" si="15"/>
        <v>0</v>
      </c>
      <c r="K158" s="57">
        <f t="shared" si="15"/>
        <v>0</v>
      </c>
      <c r="L158" s="57">
        <f t="shared" si="15"/>
        <v>0</v>
      </c>
      <c r="M158" s="57">
        <f t="shared" si="15"/>
        <v>0</v>
      </c>
      <c r="N158" s="54">
        <f t="shared" si="14"/>
        <v>110.7</v>
      </c>
      <c r="R158" s="4" t="s">
        <v>221</v>
      </c>
      <c r="S158" s="9" t="s">
        <v>230</v>
      </c>
    </row>
    <row r="159" spans="2:19" ht="17" x14ac:dyDescent="0.2">
      <c r="B159" s="35" t="s">
        <v>229</v>
      </c>
      <c r="C159" s="2" t="s">
        <v>541</v>
      </c>
      <c r="D159" s="26">
        <f t="shared" ref="D159:M159" si="16">D$158*(1+$D$38)</f>
        <v>10.8</v>
      </c>
      <c r="E159" s="26">
        <f t="shared" si="16"/>
        <v>18.900000000000002</v>
      </c>
      <c r="F159" s="26">
        <f t="shared" si="16"/>
        <v>27</v>
      </c>
      <c r="G159" s="26">
        <f t="shared" si="16"/>
        <v>27</v>
      </c>
      <c r="H159" s="26">
        <f t="shared" si="16"/>
        <v>27</v>
      </c>
      <c r="I159" s="26">
        <f t="shared" si="16"/>
        <v>0</v>
      </c>
      <c r="J159" s="26">
        <f t="shared" si="16"/>
        <v>0</v>
      </c>
      <c r="K159" s="26">
        <f t="shared" si="16"/>
        <v>0</v>
      </c>
      <c r="L159" s="26">
        <f t="shared" si="16"/>
        <v>0</v>
      </c>
      <c r="M159" s="26">
        <f t="shared" si="16"/>
        <v>0</v>
      </c>
      <c r="N159" s="26">
        <f t="shared" si="14"/>
        <v>110.7</v>
      </c>
      <c r="R159" s="2" t="s">
        <v>221</v>
      </c>
      <c r="S159" s="27" t="s">
        <v>542</v>
      </c>
    </row>
    <row r="161" spans="2:19" ht="16" x14ac:dyDescent="0.2">
      <c r="B161" s="49" t="s">
        <v>543</v>
      </c>
    </row>
    <row r="162" spans="2:19" ht="17" x14ac:dyDescent="0.2">
      <c r="B162" s="6" t="s">
        <v>544</v>
      </c>
      <c r="C162" s="4" t="s">
        <v>545</v>
      </c>
      <c r="D162" s="21">
        <f>0</f>
        <v>0</v>
      </c>
      <c r="E162" s="21">
        <f>0</f>
        <v>0</v>
      </c>
      <c r="F162" s="21">
        <f>0</f>
        <v>0</v>
      </c>
      <c r="G162" s="21">
        <f>0</f>
        <v>0</v>
      </c>
      <c r="H162" s="21">
        <f>0</f>
        <v>0</v>
      </c>
      <c r="I162" s="21">
        <f>0</f>
        <v>0</v>
      </c>
      <c r="J162" s="21">
        <f>0</f>
        <v>0</v>
      </c>
      <c r="K162" s="21">
        <f>0</f>
        <v>0</v>
      </c>
      <c r="L162" s="21">
        <f>0</f>
        <v>0</v>
      </c>
      <c r="M162" s="21">
        <f>0</f>
        <v>0</v>
      </c>
      <c r="N162" s="52">
        <f>SUM(D162:M162)</f>
        <v>0</v>
      </c>
      <c r="R162" s="4" t="s">
        <v>221</v>
      </c>
      <c r="S162" s="9" t="s">
        <v>118</v>
      </c>
    </row>
    <row r="163" spans="2:19" ht="17" x14ac:dyDescent="0.2">
      <c r="B163" s="6" t="s">
        <v>546</v>
      </c>
      <c r="C163" s="4" t="s">
        <v>547</v>
      </c>
      <c r="D163" s="21">
        <f t="shared" ref="D163:M163" si="17">D$151+D$159</f>
        <v>99.251999999999995</v>
      </c>
      <c r="E163" s="21">
        <f t="shared" si="17"/>
        <v>173.691</v>
      </c>
      <c r="F163" s="21">
        <f t="shared" si="17"/>
        <v>248.13</v>
      </c>
      <c r="G163" s="21">
        <f t="shared" si="17"/>
        <v>248.13</v>
      </c>
      <c r="H163" s="21">
        <f t="shared" si="17"/>
        <v>248.13</v>
      </c>
      <c r="I163" s="21">
        <f t="shared" si="17"/>
        <v>221.13</v>
      </c>
      <c r="J163" s="21">
        <f t="shared" si="17"/>
        <v>221.13</v>
      </c>
      <c r="K163" s="21">
        <f t="shared" si="17"/>
        <v>221.13</v>
      </c>
      <c r="L163" s="21">
        <f t="shared" si="17"/>
        <v>221.13</v>
      </c>
      <c r="M163" s="21">
        <f t="shared" si="17"/>
        <v>221.13</v>
      </c>
      <c r="N163" s="52">
        <f>SUM(D163:M163)</f>
        <v>2122.9830000000002</v>
      </c>
      <c r="R163" s="4" t="s">
        <v>221</v>
      </c>
      <c r="S163" s="9" t="s">
        <v>548</v>
      </c>
    </row>
    <row r="164" spans="2:19" ht="30" customHeight="1" x14ac:dyDescent="0.2">
      <c r="B164" s="6" t="s">
        <v>549</v>
      </c>
      <c r="C164" s="4" t="s">
        <v>550</v>
      </c>
      <c r="D164" s="58">
        <f>0</f>
        <v>0</v>
      </c>
      <c r="E164" s="58">
        <f t="shared" ref="E164:M164" si="18">IF(D$165&lt;0,D$165,IF(D$167="Fail",MAX(0,D$165),0))</f>
        <v>0</v>
      </c>
      <c r="F164" s="58">
        <f t="shared" si="18"/>
        <v>0</v>
      </c>
      <c r="G164" s="58">
        <f t="shared" si="18"/>
        <v>0</v>
      </c>
      <c r="H164" s="58">
        <f t="shared" si="18"/>
        <v>0</v>
      </c>
      <c r="I164" s="58">
        <f t="shared" si="18"/>
        <v>0</v>
      </c>
      <c r="J164" s="58">
        <f t="shared" si="18"/>
        <v>0</v>
      </c>
      <c r="K164" s="58">
        <f t="shared" si="18"/>
        <v>0</v>
      </c>
      <c r="L164" s="58">
        <f t="shared" si="18"/>
        <v>0</v>
      </c>
      <c r="M164" s="58">
        <f t="shared" si="18"/>
        <v>0</v>
      </c>
      <c r="R164" s="4" t="s">
        <v>221</v>
      </c>
      <c r="S164" s="9" t="s">
        <v>551</v>
      </c>
    </row>
    <row r="165" spans="2:19" ht="17" x14ac:dyDescent="0.2">
      <c r="B165" s="35" t="s">
        <v>552</v>
      </c>
      <c r="C165" s="2" t="s">
        <v>553</v>
      </c>
      <c r="D165" s="59">
        <f t="shared" ref="D165:M165" si="19">D$140-D$162-D$163+D$164</f>
        <v>1049.5424160000009</v>
      </c>
      <c r="E165" s="59">
        <f t="shared" si="19"/>
        <v>1836.6992280000018</v>
      </c>
      <c r="F165" s="59">
        <f t="shared" si="19"/>
        <v>2623.8560400000024</v>
      </c>
      <c r="G165" s="59">
        <f t="shared" si="19"/>
        <v>2623.8560400000024</v>
      </c>
      <c r="H165" s="59">
        <f t="shared" si="19"/>
        <v>2623.8560400000024</v>
      </c>
      <c r="I165" s="59">
        <f t="shared" si="19"/>
        <v>2650.8560400000024</v>
      </c>
      <c r="J165" s="59">
        <f t="shared" si="19"/>
        <v>2650.8560400000024</v>
      </c>
      <c r="K165" s="59">
        <f t="shared" si="19"/>
        <v>2650.8560400000024</v>
      </c>
      <c r="L165" s="59">
        <f t="shared" si="19"/>
        <v>2650.8560400000024</v>
      </c>
      <c r="M165" s="59">
        <f t="shared" si="19"/>
        <v>2650.8560400000024</v>
      </c>
      <c r="R165" s="2" t="s">
        <v>221</v>
      </c>
      <c r="S165" s="27" t="s">
        <v>554</v>
      </c>
    </row>
    <row r="166" spans="2:19" ht="17" x14ac:dyDescent="0.2">
      <c r="B166" s="6" t="s">
        <v>555</v>
      </c>
      <c r="C166" s="4" t="s">
        <v>556</v>
      </c>
      <c r="D166" s="60">
        <f t="shared" ref="D166:M166" si="20">IF(D$150&gt;0,D$139/D$150,IF(D$139&gt;0,999,0))</f>
        <v>17.863247863247881</v>
      </c>
      <c r="E166" s="60">
        <f t="shared" si="20"/>
        <v>17.863247863247885</v>
      </c>
      <c r="F166" s="60">
        <f t="shared" si="20"/>
        <v>17.863247863247881</v>
      </c>
      <c r="G166" s="60">
        <f t="shared" si="20"/>
        <v>17.863247863247881</v>
      </c>
      <c r="H166" s="60">
        <f t="shared" si="20"/>
        <v>17.863247863247881</v>
      </c>
      <c r="I166" s="60">
        <f t="shared" si="20"/>
        <v>17.863247863247881</v>
      </c>
      <c r="J166" s="60">
        <f t="shared" si="20"/>
        <v>17.863247863247881</v>
      </c>
      <c r="K166" s="60">
        <f t="shared" si="20"/>
        <v>17.863247863247881</v>
      </c>
      <c r="L166" s="60">
        <f t="shared" si="20"/>
        <v>17.863247863247881</v>
      </c>
      <c r="M166" s="60">
        <f t="shared" si="20"/>
        <v>17.863247863247881</v>
      </c>
      <c r="R166" s="4" t="s">
        <v>382</v>
      </c>
      <c r="S166" s="9" t="s">
        <v>514</v>
      </c>
    </row>
    <row r="167" spans="2:19" ht="17" x14ac:dyDescent="0.2">
      <c r="B167" s="6" t="s">
        <v>557</v>
      </c>
      <c r="C167" s="4"/>
      <c r="D167" s="4" t="str">
        <f>IF(D$115=0,"n/a",IF(D$166&gt;=Defaults!$C$6,"Pass","Fail"))</f>
        <v>Pass</v>
      </c>
      <c r="E167" s="4" t="str">
        <f>IF(E$115=0,"n/a",IF(E$166&gt;=Defaults!$C$6,"Pass","Fail"))</f>
        <v>Pass</v>
      </c>
      <c r="F167" s="4" t="str">
        <f>IF(F$115=0,"n/a",IF(F$166&gt;=Defaults!$C$6,"Pass","Fail"))</f>
        <v>Pass</v>
      </c>
      <c r="G167" s="4" t="str">
        <f>IF(G$115=0,"n/a",IF(G$166&gt;=Defaults!$C$6,"Pass","Fail"))</f>
        <v>Pass</v>
      </c>
      <c r="H167" s="4" t="str">
        <f>IF(H$115=0,"n/a",IF(H$166&gt;=Defaults!$C$6,"Pass","Fail"))</f>
        <v>Pass</v>
      </c>
      <c r="I167" s="4" t="str">
        <f>IF(I$115=0,"n/a",IF(I$166&gt;=Defaults!$C$6,"Pass","Fail"))</f>
        <v>Pass</v>
      </c>
      <c r="J167" s="4" t="str">
        <f>IF(J$115=0,"n/a",IF(J$166&gt;=Defaults!$C$6,"Pass","Fail"))</f>
        <v>Pass</v>
      </c>
      <c r="K167" s="4" t="str">
        <f>IF(K$115=0,"n/a",IF(K$166&gt;=Defaults!$C$6,"Pass","Fail"))</f>
        <v>Pass</v>
      </c>
      <c r="L167" s="4" t="str">
        <f>IF(L$115=0,"n/a",IF(L$166&gt;=Defaults!$C$6,"Pass","Fail"))</f>
        <v>Pass</v>
      </c>
      <c r="M167" s="4" t="str">
        <f>IF(M$115=0,"n/a",IF(M$166&gt;=Defaults!$C$6,"Pass","Fail"))</f>
        <v>Pass</v>
      </c>
      <c r="N167" s="61">
        <f>COUNTIF(D167:M167,"Fail")</f>
        <v>0</v>
      </c>
      <c r="R167" s="4"/>
      <c r="S167" s="9" t="s">
        <v>163</v>
      </c>
    </row>
    <row r="168" spans="2:19" ht="17" x14ac:dyDescent="0.2">
      <c r="B168" s="6" t="s">
        <v>558</v>
      </c>
      <c r="C168" s="4" t="s">
        <v>559</v>
      </c>
      <c r="D168" s="21">
        <f t="shared" ref="D168:M168" si="21">IF(D$167="Pass",MAX(0,D$165)*$D$46,0)</f>
        <v>104.9542416000001</v>
      </c>
      <c r="E168" s="21">
        <f t="shared" si="21"/>
        <v>183.66992280000019</v>
      </c>
      <c r="F168" s="21">
        <f t="shared" si="21"/>
        <v>262.38560400000023</v>
      </c>
      <c r="G168" s="21">
        <f t="shared" si="21"/>
        <v>262.38560400000023</v>
      </c>
      <c r="H168" s="21">
        <f t="shared" si="21"/>
        <v>262.38560400000023</v>
      </c>
      <c r="I168" s="21">
        <f t="shared" si="21"/>
        <v>265.08560400000027</v>
      </c>
      <c r="J168" s="21">
        <f t="shared" si="21"/>
        <v>265.08560400000027</v>
      </c>
      <c r="K168" s="21">
        <f t="shared" si="21"/>
        <v>265.08560400000027</v>
      </c>
      <c r="L168" s="21">
        <f t="shared" si="21"/>
        <v>265.08560400000027</v>
      </c>
      <c r="M168" s="21">
        <f t="shared" si="21"/>
        <v>265.08560400000027</v>
      </c>
      <c r="N168" s="52">
        <f>SUM(D168:M168)</f>
        <v>2401.2089964000024</v>
      </c>
      <c r="R168" s="4" t="s">
        <v>221</v>
      </c>
      <c r="S168" s="9" t="s">
        <v>560</v>
      </c>
    </row>
    <row r="169" spans="2:19" ht="17" x14ac:dyDescent="0.2">
      <c r="B169" s="6" t="s">
        <v>233</v>
      </c>
      <c r="C169" s="4" t="s">
        <v>561</v>
      </c>
      <c r="D169" s="21">
        <f t="shared" ref="D169:M169" si="22">IF(D$167="Pass",MAX(0,D$165)*D$132,0)</f>
        <v>13.119280200000013</v>
      </c>
      <c r="E169" s="21">
        <f t="shared" si="22"/>
        <v>22.958740350000024</v>
      </c>
      <c r="F169" s="21">
        <f t="shared" si="22"/>
        <v>32.798200500000029</v>
      </c>
      <c r="G169" s="21">
        <f t="shared" si="22"/>
        <v>32.798200500000029</v>
      </c>
      <c r="H169" s="21">
        <f t="shared" si="22"/>
        <v>32.798200500000029</v>
      </c>
      <c r="I169" s="21">
        <f t="shared" si="22"/>
        <v>33.135700500000034</v>
      </c>
      <c r="J169" s="21">
        <f t="shared" si="22"/>
        <v>33.135700500000034</v>
      </c>
      <c r="K169" s="21">
        <f t="shared" si="22"/>
        <v>33.135700500000034</v>
      </c>
      <c r="L169" s="21">
        <f t="shared" si="22"/>
        <v>33.135700500000034</v>
      </c>
      <c r="M169" s="21">
        <f t="shared" si="22"/>
        <v>33.135700500000034</v>
      </c>
      <c r="N169" s="52">
        <f>SUM(D169:M169)</f>
        <v>300.1511245500003</v>
      </c>
      <c r="R169" s="4" t="s">
        <v>221</v>
      </c>
      <c r="S169" s="9" t="s">
        <v>562</v>
      </c>
    </row>
    <row r="170" spans="2:19" ht="17" x14ac:dyDescent="0.2">
      <c r="B170" s="6" t="s">
        <v>563</v>
      </c>
      <c r="C170" s="4" t="s">
        <v>564</v>
      </c>
      <c r="D170" s="21">
        <f t="shared" ref="D170:M170" si="23">IF(D$167="Pass",MAX(0,D$165-D$168-D$169),0)</f>
        <v>931.4688942000007</v>
      </c>
      <c r="E170" s="21">
        <f t="shared" si="23"/>
        <v>1630.0705648500016</v>
      </c>
      <c r="F170" s="21">
        <f t="shared" si="23"/>
        <v>2328.6722355000024</v>
      </c>
      <c r="G170" s="21">
        <f t="shared" si="23"/>
        <v>2328.6722355000024</v>
      </c>
      <c r="H170" s="21">
        <f t="shared" si="23"/>
        <v>2328.6722355000024</v>
      </c>
      <c r="I170" s="21">
        <f t="shared" si="23"/>
        <v>2352.6347355000021</v>
      </c>
      <c r="J170" s="21">
        <f t="shared" si="23"/>
        <v>2352.6347355000021</v>
      </c>
      <c r="K170" s="21">
        <f t="shared" si="23"/>
        <v>2352.6347355000021</v>
      </c>
      <c r="L170" s="21">
        <f t="shared" si="23"/>
        <v>2352.6347355000021</v>
      </c>
      <c r="M170" s="21">
        <f t="shared" si="23"/>
        <v>2352.6347355000021</v>
      </c>
      <c r="N170" s="52">
        <f>SUM(D170:M170)</f>
        <v>21310.729843050023</v>
      </c>
      <c r="R170" s="4" t="s">
        <v>221</v>
      </c>
      <c r="S170" s="9" t="s">
        <v>565</v>
      </c>
    </row>
    <row r="171" spans="2:19" ht="30" customHeight="1" x14ac:dyDescent="0.2">
      <c r="B171" s="35" t="s">
        <v>566</v>
      </c>
      <c r="C171" s="2" t="s">
        <v>567</v>
      </c>
      <c r="D171" s="26">
        <f>IF($D$21="Track 1",MIN(Defaults!$C$46,D$170),D$170)</f>
        <v>931.4688942000007</v>
      </c>
      <c r="E171" s="26">
        <f>IF($D$21="Track 1",MIN(Defaults!$C$46,E$170),E$170)</f>
        <v>1630.0705648500016</v>
      </c>
      <c r="F171" s="26">
        <f>IF($D$21="Track 1",MIN(Defaults!$C$46,F$170),F$170)</f>
        <v>2328.6722355000024</v>
      </c>
      <c r="G171" s="26">
        <f>IF($D$21="Track 1",MIN(Defaults!$C$46,G$170),G$170)</f>
        <v>2328.6722355000024</v>
      </c>
      <c r="H171" s="26">
        <f>IF($D$21="Track 1",MIN(Defaults!$C$46,H$170),H$170)</f>
        <v>2328.6722355000024</v>
      </c>
      <c r="I171" s="26">
        <f>IF($D$21="Track 1",MIN(Defaults!$C$46,I$170),I$170)</f>
        <v>2352.6347355000021</v>
      </c>
      <c r="J171" s="26">
        <f>IF($D$21="Track 1",MIN(Defaults!$C$46,J$170),J$170)</f>
        <v>2352.6347355000021</v>
      </c>
      <c r="K171" s="26">
        <f>IF($D$21="Track 1",MIN(Defaults!$C$46,K$170),K$170)</f>
        <v>2352.6347355000021</v>
      </c>
      <c r="L171" s="26">
        <f>IF($D$21="Track 1",MIN(Defaults!$C$46,L$170),L$170)</f>
        <v>2352.6347355000021</v>
      </c>
      <c r="M171" s="26">
        <f>IF($D$21="Track 1",MIN(Defaults!$C$46,M$170),M$170)</f>
        <v>2352.6347355000021</v>
      </c>
      <c r="N171" s="26">
        <f>SUM(D171:M171)</f>
        <v>21310.729843050023</v>
      </c>
      <c r="R171" s="2" t="s">
        <v>221</v>
      </c>
      <c r="S171" s="27" t="s">
        <v>568</v>
      </c>
    </row>
    <row r="172" spans="2:19" ht="30" customHeight="1" x14ac:dyDescent="0.2">
      <c r="B172" s="6" t="s">
        <v>569</v>
      </c>
      <c r="C172" s="4"/>
      <c r="D172" s="21">
        <f t="shared" ref="D172:M172" si="24">D$170-D$171</f>
        <v>0</v>
      </c>
      <c r="E172" s="21">
        <f t="shared" si="24"/>
        <v>0</v>
      </c>
      <c r="F172" s="21">
        <f t="shared" si="24"/>
        <v>0</v>
      </c>
      <c r="G172" s="21">
        <f t="shared" si="24"/>
        <v>0</v>
      </c>
      <c r="H172" s="21">
        <f t="shared" si="24"/>
        <v>0</v>
      </c>
      <c r="I172" s="21">
        <f t="shared" si="24"/>
        <v>0</v>
      </c>
      <c r="J172" s="21">
        <f t="shared" si="24"/>
        <v>0</v>
      </c>
      <c r="K172" s="21">
        <f t="shared" si="24"/>
        <v>0</v>
      </c>
      <c r="L172" s="21">
        <f t="shared" si="24"/>
        <v>0</v>
      </c>
      <c r="M172" s="21">
        <f t="shared" si="24"/>
        <v>0</v>
      </c>
      <c r="N172" s="52">
        <f>SUM(D172:M172)</f>
        <v>0</v>
      </c>
      <c r="R172" s="4" t="s">
        <v>221</v>
      </c>
      <c r="S172" s="9" t="s">
        <v>240</v>
      </c>
    </row>
  </sheetData>
  <sheetProtection password="8666" sheet="1" formatColumns="0" formatRows="0"/>
  <mergeCells count="1">
    <mergeCell ref="B3:F3"/>
  </mergeCells>
  <pageMargins left="0.75" right="0.75" top="1" bottom="1" header="0.511811023622047" footer="0.511811023622047"/>
  <pageSetup paperSize="9" orientation="portrait" horizontalDpi="300" verticalDpi="300"/>
  <extLst>
    <ext xmlns:x14="http://schemas.microsoft.com/office/spreadsheetml/2009/9/main" uri="{CCE6A557-97BC-4b89-ADB6-D9C93CAAB3DF}">
      <x14:dataValidations xmlns:xm="http://schemas.microsoft.com/office/excel/2006/main" count="18">
        <x14:dataValidation type="list" xr:uid="{00000000-0002-0000-0500-000000000000}">
          <x14:formula1>
            <xm:f>Lists!$B$2:$B$4</xm:f>
          </x14:formula1>
          <x14:formula2>
            <xm:f>0</xm:f>
          </x14:formula2>
          <xm:sqref>D21</xm:sqref>
        </x14:dataValidation>
        <x14:dataValidation type="list" xr:uid="{00000000-0002-0000-0500-000001000000}">
          <x14:formula1>
            <xm:f>Lists!$C$2:$C$4</xm:f>
          </x14:formula1>
          <x14:formula2>
            <xm:f>0</xm:f>
          </x14:formula2>
          <xm:sqref>D22</xm:sqref>
        </x14:dataValidation>
        <x14:dataValidation type="list" xr:uid="{00000000-0002-0000-0500-000002000000}">
          <x14:formula1>
            <xm:f>Lists!$D$2:$D$7</xm:f>
          </x14:formula1>
          <x14:formula2>
            <xm:f>0</xm:f>
          </x14:formula2>
          <xm:sqref>D23</xm:sqref>
        </x14:dataValidation>
        <x14:dataValidation type="list" xr:uid="{00000000-0002-0000-0500-000003000000}">
          <x14:formula1>
            <xm:f>Lists!$J$2:$J$3</xm:f>
          </x14:formula1>
          <x14:formula2>
            <xm:f>0</xm:f>
          </x14:formula2>
          <xm:sqref>D30 D90 D55</xm:sqref>
        </x14:dataValidation>
        <x14:dataValidation type="list" xr:uid="{00000000-0002-0000-0500-000004000000}">
          <x14:formula1>
            <xm:f>Lists!$P$2:$P$3</xm:f>
          </x14:formula1>
          <x14:formula2>
            <xm:f>0</xm:f>
          </x14:formula2>
          <xm:sqref>D45</xm:sqref>
        </x14:dataValidation>
        <x14:dataValidation type="list" xr:uid="{00000000-0002-0000-0500-000005000000}">
          <x14:formula1>
            <xm:f>Defaults!$B$52:$B$57</xm:f>
          </x14:formula1>
          <x14:formula2>
            <xm:f>0</xm:f>
          </x14:formula2>
          <xm:sqref>D50</xm:sqref>
        </x14:dataValidation>
        <x14:dataValidation type="list" xr:uid="{00000000-0002-0000-0500-000006000000}">
          <x14:formula1>
            <xm:f>Lists!$I$2:$I$3</xm:f>
          </x14:formula1>
          <x14:formula2>
            <xm:f>0</xm:f>
          </x14:formula2>
          <xm:sqref>D51</xm:sqref>
        </x14:dataValidation>
        <x14:dataValidation type="list" xr:uid="{00000000-0002-0000-0500-000007000000}">
          <x14:formula1>
            <xm:f>Lists!$G$2:$G$4</xm:f>
          </x14:formula1>
          <x14:formula2>
            <xm:f>0</xm:f>
          </x14:formula2>
          <xm:sqref>D54</xm:sqref>
        </x14:dataValidation>
        <x14:dataValidation type="list" xr:uid="{00000000-0002-0000-0500-000009000000}">
          <x14:formula1>
            <xm:f>Defaults!$B$74:$B$79</xm:f>
          </x14:formula1>
          <x14:formula2>
            <xm:f>0</xm:f>
          </x14:formula2>
          <xm:sqref>D56</xm:sqref>
        </x14:dataValidation>
        <x14:dataValidation type="list" xr:uid="{00000000-0002-0000-0500-00000A000000}">
          <x14:formula1>
            <xm:f>Lists!$L$2:$L$4</xm:f>
          </x14:formula1>
          <x14:formula2>
            <xm:f>0</xm:f>
          </x14:formula2>
          <xm:sqref>D58</xm:sqref>
        </x14:dataValidation>
        <x14:dataValidation type="list" xr:uid="{00000000-0002-0000-0500-00000B000000}">
          <x14:formula1>
            <xm:f>Lists!$O$2:$O$5</xm:f>
          </x14:formula1>
          <x14:formula2>
            <xm:f>0</xm:f>
          </x14:formula2>
          <xm:sqref>D61</xm:sqref>
        </x14:dataValidation>
        <x14:dataValidation type="list" xr:uid="{00000000-0002-0000-0500-00000C000000}">
          <x14:formula1>
            <xm:f>Lists!$Q$2:$Q$4</xm:f>
          </x14:formula1>
          <x14:formula2>
            <xm:f>0</xm:f>
          </x14:formula2>
          <xm:sqref>D69</xm:sqref>
        </x14:dataValidation>
        <x14:dataValidation type="list" xr:uid="{00000000-0002-0000-0500-00000D000000}">
          <x14:formula1>
            <xm:f>Lists!$K$2:$K$3</xm:f>
          </x14:formula1>
          <x14:formula2>
            <xm:f>0</xm:f>
          </x14:formula2>
          <xm:sqref>D74</xm:sqref>
        </x14:dataValidation>
        <x14:dataValidation type="list" xr:uid="{00000000-0002-0000-0500-00000E000000}">
          <x14:formula1>
            <xm:f>Lists!$E$2:$E$3</xm:f>
          </x14:formula1>
          <x14:formula2>
            <xm:f>0</xm:f>
          </x14:formula2>
          <xm:sqref>D77</xm:sqref>
        </x14:dataValidation>
        <x14:dataValidation type="list" xr:uid="{00000000-0002-0000-0500-00000F000000}">
          <x14:formula1>
            <xm:f>Lists!$F$2:$F$4</xm:f>
          </x14:formula1>
          <x14:formula2>
            <xm:f>0</xm:f>
          </x14:formula2>
          <xm:sqref>D84</xm:sqref>
        </x14:dataValidation>
        <x14:dataValidation type="list" xr:uid="{00000000-0002-0000-0500-000010000000}">
          <x14:formula1>
            <xm:f>Defaults!$B$67:$B$70</xm:f>
          </x14:formula1>
          <x14:formula2>
            <xm:f>0</xm:f>
          </x14:formula2>
          <xm:sqref>D89</xm:sqref>
        </x14:dataValidation>
        <x14:dataValidation type="list" xr:uid="{00000000-0002-0000-0500-000012000000}">
          <x14:formula1>
            <xm:f>Lists!$H$2:$H$5</xm:f>
          </x14:formula1>
          <x14:formula2>
            <xm:f>0</xm:f>
          </x14:formula2>
          <xm:sqref>D97</xm:sqref>
        </x14:dataValidation>
        <x14:dataValidation type="list" xr:uid="{00000000-0002-0000-0500-000013000000}">
          <x14:formula1>
            <xm:f>Lists!$N$2:$N$3</xm:f>
          </x14:formula1>
          <x14:formula2>
            <xm:f>0</xm:f>
          </x14:formula2>
          <xm:sqref>D104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S172"/>
  <sheetViews>
    <sheetView showGridLines="0" zoomScaleNormal="100" workbookViewId="0">
      <pane xSplit="2" ySplit="4" topLeftCell="C5" activePane="bottomRight" state="frozen"/>
      <selection pane="topRight" activeCell="C1" sqref="C1"/>
      <selection pane="bottomLeft" activeCell="A5" sqref="A5"/>
      <selection pane="bottomRight"/>
    </sheetView>
  </sheetViews>
  <sheetFormatPr baseColWidth="10" defaultColWidth="8.5" defaultRowHeight="15" x14ac:dyDescent="0.2"/>
  <cols>
    <col min="1" max="1" width="3.1640625" customWidth="1"/>
    <col min="2" max="2" width="64" customWidth="1"/>
    <col min="3" max="3" width="22" customWidth="1"/>
    <col min="4" max="14" width="13" customWidth="1"/>
    <col min="18" max="18" width="16" customWidth="1"/>
    <col min="19" max="19" width="40" customWidth="1"/>
  </cols>
  <sheetData>
    <row r="1" spans="2:6" ht="25.5" customHeight="1" x14ac:dyDescent="0.25">
      <c r="B1" s="14" t="s">
        <v>575</v>
      </c>
    </row>
    <row r="2" spans="2:6" ht="16" x14ac:dyDescent="0.2">
      <c r="B2" s="9" t="s">
        <v>212</v>
      </c>
    </row>
    <row r="3" spans="2:6" ht="109.5" customHeight="1" x14ac:dyDescent="0.2">
      <c r="B3" s="80" t="s">
        <v>576</v>
      </c>
      <c r="C3" s="80"/>
      <c r="D3" s="80"/>
      <c r="E3" s="80"/>
      <c r="F3" s="80"/>
    </row>
    <row r="5" spans="2:6" ht="16" x14ac:dyDescent="0.2">
      <c r="B5" s="10" t="s">
        <v>214</v>
      </c>
      <c r="C5" s="11"/>
      <c r="D5" s="11"/>
      <c r="E5" s="11"/>
      <c r="F5" s="11"/>
    </row>
    <row r="6" spans="2:6" ht="16" x14ac:dyDescent="0.2">
      <c r="B6" s="12" t="s">
        <v>215</v>
      </c>
      <c r="C6" s="12" t="s">
        <v>216</v>
      </c>
      <c r="D6" s="12" t="s">
        <v>217</v>
      </c>
      <c r="E6" s="12" t="s">
        <v>218</v>
      </c>
      <c r="F6" s="12" t="s">
        <v>219</v>
      </c>
    </row>
    <row r="7" spans="2:6" ht="16" x14ac:dyDescent="0.2">
      <c r="B7" s="2" t="s">
        <v>220</v>
      </c>
      <c r="C7" s="25"/>
      <c r="D7" s="26">
        <f>$N$171</f>
        <v>27753.59209972616</v>
      </c>
      <c r="E7" s="2" t="s">
        <v>221</v>
      </c>
      <c r="F7" s="27" t="s">
        <v>222</v>
      </c>
    </row>
    <row r="8" spans="2:6" ht="16" x14ac:dyDescent="0.2">
      <c r="B8" s="2" t="s">
        <v>223</v>
      </c>
      <c r="C8" s="25"/>
      <c r="D8" s="22">
        <f>IF($N$136&gt;0,$N$171/$N$136,0)</f>
        <v>1.6732134864487949</v>
      </c>
      <c r="E8" s="2" t="s">
        <v>224</v>
      </c>
      <c r="F8" s="27"/>
    </row>
    <row r="9" spans="2:6" ht="16" x14ac:dyDescent="0.2">
      <c r="B9" s="2" t="s">
        <v>225</v>
      </c>
      <c r="C9" s="25"/>
      <c r="D9" s="26">
        <f>$N$136</f>
        <v>16587</v>
      </c>
      <c r="E9" s="2" t="s">
        <v>226</v>
      </c>
      <c r="F9" s="27" t="s">
        <v>124</v>
      </c>
    </row>
    <row r="10" spans="2:6" ht="16" x14ac:dyDescent="0.2">
      <c r="B10" s="2" t="s">
        <v>227</v>
      </c>
      <c r="C10" s="25"/>
      <c r="D10" s="26">
        <f>$N$140</f>
        <v>32778.701104050029</v>
      </c>
      <c r="E10" s="2" t="s">
        <v>221</v>
      </c>
      <c r="F10" s="27" t="s">
        <v>121</v>
      </c>
    </row>
    <row r="11" spans="2:6" ht="16" x14ac:dyDescent="0.2">
      <c r="B11" s="2" t="s">
        <v>228</v>
      </c>
      <c r="C11" s="25"/>
      <c r="D11" s="26">
        <f>$N$151</f>
        <v>2291.6564160000003</v>
      </c>
      <c r="E11" s="2" t="s">
        <v>221</v>
      </c>
      <c r="F11" s="27" t="s">
        <v>134</v>
      </c>
    </row>
    <row r="12" spans="2:6" ht="16" x14ac:dyDescent="0.2">
      <c r="B12" s="2" t="s">
        <v>229</v>
      </c>
      <c r="C12" s="25"/>
      <c r="D12" s="26">
        <f>$N$159</f>
        <v>401.85</v>
      </c>
      <c r="E12" s="2" t="s">
        <v>221</v>
      </c>
      <c r="F12" s="27" t="s">
        <v>230</v>
      </c>
    </row>
    <row r="13" spans="2:6" ht="16" x14ac:dyDescent="0.2">
      <c r="B13" s="2" t="s">
        <v>231</v>
      </c>
      <c r="C13" s="25"/>
      <c r="D13" s="26">
        <f>$N$168</f>
        <v>1955.537654723252</v>
      </c>
      <c r="E13" s="2" t="s">
        <v>221</v>
      </c>
      <c r="F13" s="27" t="s">
        <v>232</v>
      </c>
    </row>
    <row r="14" spans="2:6" ht="16" x14ac:dyDescent="0.2">
      <c r="B14" s="2" t="s">
        <v>233</v>
      </c>
      <c r="C14" s="25"/>
      <c r="D14" s="26">
        <f>$N$169</f>
        <v>376.06493360062552</v>
      </c>
      <c r="E14" s="2" t="s">
        <v>221</v>
      </c>
      <c r="F14" s="27" t="s">
        <v>234</v>
      </c>
    </row>
    <row r="15" spans="2:6" ht="16" x14ac:dyDescent="0.2">
      <c r="B15" s="2" t="s">
        <v>235</v>
      </c>
      <c r="C15" s="25"/>
      <c r="D15" s="28">
        <f>$N$167</f>
        <v>0</v>
      </c>
      <c r="E15" s="2" t="s">
        <v>236</v>
      </c>
      <c r="F15" s="27" t="s">
        <v>163</v>
      </c>
    </row>
    <row r="16" spans="2:6" ht="16" x14ac:dyDescent="0.2">
      <c r="B16" s="2" t="s">
        <v>237</v>
      </c>
      <c r="C16" s="25"/>
      <c r="D16" s="28">
        <f>COUNTIF(D165:M165,"&lt;0")</f>
        <v>0</v>
      </c>
      <c r="E16" s="2" t="s">
        <v>236</v>
      </c>
      <c r="F16" s="27" t="s">
        <v>238</v>
      </c>
    </row>
    <row r="17" spans="2:6" ht="16" x14ac:dyDescent="0.2">
      <c r="B17" s="2" t="s">
        <v>239</v>
      </c>
      <c r="C17" s="25"/>
      <c r="D17" s="26">
        <f>$N$172</f>
        <v>0</v>
      </c>
      <c r="E17" s="2" t="s">
        <v>221</v>
      </c>
      <c r="F17" s="27" t="s">
        <v>240</v>
      </c>
    </row>
    <row r="18" spans="2:6" ht="16" x14ac:dyDescent="0.2">
      <c r="B18" s="2" t="s">
        <v>241</v>
      </c>
      <c r="C18" s="25"/>
      <c r="D18" s="29" t="str">
        <f>IF(AND($D$83&lt;&gt;"Not creditable under Method 1 (H:Corg above 0.50)",$D$83&lt;&gt;"Track 1 default-route limit 0.40 exceeded — test the batch",$D$60&lt;&gt;"Below the 70% floor — residue not eligible",$D$93&lt;&gt;"Above the 50 t/ha cap",COUNTIF(D138:M138,"Above ceiling")=0,$D$110="OK"),"OK","Check Parts A to F: "&amp;$D$83&amp;"; "&amp;$D$60&amp;"; "&amp;$D$93&amp;"; mass-balance flags "&amp;COUNTIF(D138:M138,"Above ceiling")&amp;"; "&amp;$D$110)</f>
        <v>OK</v>
      </c>
      <c r="E18" s="2"/>
      <c r="F18" s="27"/>
    </row>
    <row r="19" spans="2:6" ht="16" x14ac:dyDescent="0.2">
      <c r="B19" s="10" t="s">
        <v>242</v>
      </c>
      <c r="C19" s="11"/>
      <c r="D19" s="11"/>
      <c r="E19" s="11"/>
      <c r="F19" s="11"/>
    </row>
    <row r="20" spans="2:6" ht="16" x14ac:dyDescent="0.2">
      <c r="B20" s="12" t="s">
        <v>215</v>
      </c>
      <c r="C20" s="12" t="s">
        <v>216</v>
      </c>
      <c r="D20" s="12" t="s">
        <v>217</v>
      </c>
      <c r="E20" s="12" t="s">
        <v>218</v>
      </c>
      <c r="F20" s="12" t="s">
        <v>219</v>
      </c>
    </row>
    <row r="21" spans="2:6" ht="51" x14ac:dyDescent="0.2">
      <c r="B21" s="6" t="s">
        <v>243</v>
      </c>
      <c r="C21" s="4"/>
      <c r="D21" s="30" t="s">
        <v>577</v>
      </c>
      <c r="E21" s="4"/>
      <c r="F21" s="1" t="s">
        <v>245</v>
      </c>
    </row>
    <row r="22" spans="2:6" ht="17" x14ac:dyDescent="0.2">
      <c r="B22" s="6" t="s">
        <v>179</v>
      </c>
      <c r="C22" s="4"/>
      <c r="D22" s="30" t="s">
        <v>246</v>
      </c>
      <c r="E22" s="4"/>
      <c r="F22" s="1" t="s">
        <v>247</v>
      </c>
    </row>
    <row r="23" spans="2:6" ht="17" x14ac:dyDescent="0.2">
      <c r="B23" s="6" t="s">
        <v>180</v>
      </c>
      <c r="C23" s="4"/>
      <c r="D23" s="30" t="s">
        <v>578</v>
      </c>
      <c r="E23" s="4"/>
      <c r="F23" s="1" t="s">
        <v>249</v>
      </c>
    </row>
    <row r="24" spans="2:6" ht="17" x14ac:dyDescent="0.2">
      <c r="B24" s="6" t="s">
        <v>250</v>
      </c>
      <c r="C24" s="4"/>
      <c r="D24" s="30" t="s">
        <v>579</v>
      </c>
      <c r="E24" s="4"/>
      <c r="F24" s="1" t="s">
        <v>240</v>
      </c>
    </row>
    <row r="25" spans="2:6" ht="30" customHeight="1" x14ac:dyDescent="0.2">
      <c r="B25" s="6" t="s">
        <v>252</v>
      </c>
      <c r="C25" s="4"/>
      <c r="D25" s="30">
        <v>5</v>
      </c>
      <c r="E25" s="4" t="s">
        <v>253</v>
      </c>
      <c r="F25" s="1" t="s">
        <v>254</v>
      </c>
    </row>
    <row r="26" spans="2:6" ht="45" customHeight="1" x14ac:dyDescent="0.2">
      <c r="B26" s="6" t="s">
        <v>255</v>
      </c>
      <c r="C26" s="4" t="s">
        <v>256</v>
      </c>
      <c r="D26" s="30">
        <v>24</v>
      </c>
      <c r="E26" s="4" t="s">
        <v>257</v>
      </c>
      <c r="F26" s="1" t="s">
        <v>258</v>
      </c>
    </row>
    <row r="27" spans="2:6" ht="30" customHeight="1" x14ac:dyDescent="0.2">
      <c r="B27" s="6" t="s">
        <v>259</v>
      </c>
      <c r="C27" s="4" t="s">
        <v>256</v>
      </c>
      <c r="D27" s="4">
        <f>ROUND(MIN(Defaults!$C$16,MAX(Defaults!$C$15,CEILING(IF(ISNUMBER($D$26),$D$26,Defaults!$C$14),1))),0)</f>
        <v>24</v>
      </c>
      <c r="E27" s="4" t="s">
        <v>257</v>
      </c>
      <c r="F27" s="1" t="s">
        <v>260</v>
      </c>
    </row>
    <row r="28" spans="2:6" ht="45" customHeight="1" x14ac:dyDescent="0.2">
      <c r="B28" s="6" t="s">
        <v>261</v>
      </c>
      <c r="C28" s="4" t="s">
        <v>262</v>
      </c>
      <c r="D28" s="31">
        <f>Defaults!$C$47</f>
        <v>1.2500000000000001E-2</v>
      </c>
      <c r="E28" s="4" t="s">
        <v>263</v>
      </c>
      <c r="F28" s="1" t="s">
        <v>264</v>
      </c>
    </row>
    <row r="29" spans="2:6" ht="17" x14ac:dyDescent="0.2">
      <c r="B29" s="6" t="s">
        <v>265</v>
      </c>
      <c r="C29" s="4" t="s">
        <v>266</v>
      </c>
      <c r="D29" s="3">
        <f>Defaults!$C$4</f>
        <v>28</v>
      </c>
      <c r="E29" s="4" t="s">
        <v>267</v>
      </c>
      <c r="F29" s="1" t="s">
        <v>268</v>
      </c>
    </row>
    <row r="30" spans="2:6" ht="45" customHeight="1" x14ac:dyDescent="0.2">
      <c r="B30" s="6" t="s">
        <v>269</v>
      </c>
      <c r="C30" s="4"/>
      <c r="D30" s="30" t="s">
        <v>270</v>
      </c>
      <c r="E30" s="4"/>
      <c r="F30" s="1" t="s">
        <v>271</v>
      </c>
    </row>
    <row r="31" spans="2:6" ht="30" customHeight="1" x14ac:dyDescent="0.2">
      <c r="B31" s="6" t="s">
        <v>272</v>
      </c>
      <c r="C31" s="4" t="s">
        <v>273</v>
      </c>
      <c r="D31" s="32">
        <v>0</v>
      </c>
      <c r="E31" s="4" t="s">
        <v>263</v>
      </c>
      <c r="F31" s="1" t="s">
        <v>274</v>
      </c>
    </row>
    <row r="32" spans="2:6" ht="51" x14ac:dyDescent="0.2">
      <c r="B32" s="6" t="s">
        <v>275</v>
      </c>
      <c r="C32" s="4" t="s">
        <v>276</v>
      </c>
      <c r="D32" s="32">
        <v>0</v>
      </c>
      <c r="E32" s="4" t="s">
        <v>263</v>
      </c>
      <c r="F32" s="1" t="s">
        <v>277</v>
      </c>
    </row>
    <row r="33" spans="2:6" ht="30" customHeight="1" x14ac:dyDescent="0.2">
      <c r="B33" s="6" t="s">
        <v>278</v>
      </c>
      <c r="C33" s="4" t="s">
        <v>279</v>
      </c>
      <c r="D33" s="32">
        <v>0</v>
      </c>
      <c r="E33" s="4" t="s">
        <v>263</v>
      </c>
      <c r="F33" s="1" t="s">
        <v>280</v>
      </c>
    </row>
    <row r="34" spans="2:6" ht="17" x14ac:dyDescent="0.2">
      <c r="B34" s="6" t="s">
        <v>281</v>
      </c>
      <c r="C34" s="4" t="s">
        <v>282</v>
      </c>
      <c r="D34" s="20">
        <f>SQRT($D$31^2+$D$32^2+$D$33^2)</f>
        <v>0</v>
      </c>
      <c r="E34" s="4" t="s">
        <v>263</v>
      </c>
      <c r="F34" s="1" t="s">
        <v>283</v>
      </c>
    </row>
    <row r="35" spans="2:6" ht="30" customHeight="1" x14ac:dyDescent="0.2">
      <c r="B35" s="6" t="s">
        <v>284</v>
      </c>
      <c r="C35" s="4" t="s">
        <v>282</v>
      </c>
      <c r="D35" s="32">
        <v>0</v>
      </c>
      <c r="E35" s="4" t="s">
        <v>263</v>
      </c>
      <c r="F35" s="1" t="s">
        <v>285</v>
      </c>
    </row>
    <row r="36" spans="2:6" ht="51" x14ac:dyDescent="0.2">
      <c r="B36" s="6" t="s">
        <v>286</v>
      </c>
      <c r="C36" s="4" t="s">
        <v>287</v>
      </c>
      <c r="D36" s="20">
        <f>IF($D$21="Track 1",Defaults!$C$7,IF($D$21="Track 2",IF($D$30="Yes",MAX(0,$D$34-Defaults!$C$9),Defaults!$C$8),MAX(0,$D$34-Defaults!$C$9)))</f>
        <v>0.05</v>
      </c>
      <c r="E36" s="4" t="s">
        <v>263</v>
      </c>
      <c r="F36" s="1" t="s">
        <v>288</v>
      </c>
    </row>
    <row r="37" spans="2:6" ht="34" x14ac:dyDescent="0.2">
      <c r="B37" s="6" t="s">
        <v>289</v>
      </c>
      <c r="C37" s="4" t="s">
        <v>290</v>
      </c>
      <c r="D37" s="20">
        <f>IF($D$21="Track 1",Defaults!$C$7,IF($D$21="Track 2",Defaults!$C$8,MAX(0,$D$35-Defaults!$C$10)))</f>
        <v>0.05</v>
      </c>
      <c r="E37" s="4" t="s">
        <v>263</v>
      </c>
      <c r="F37" s="1" t="s">
        <v>291</v>
      </c>
    </row>
    <row r="38" spans="2:6" ht="30" customHeight="1" x14ac:dyDescent="0.2">
      <c r="B38" s="6" t="s">
        <v>292</v>
      </c>
      <c r="C38" s="4" t="s">
        <v>293</v>
      </c>
      <c r="D38" s="33">
        <v>0</v>
      </c>
      <c r="E38" s="4" t="s">
        <v>263</v>
      </c>
      <c r="F38" s="1" t="s">
        <v>294</v>
      </c>
    </row>
    <row r="40" spans="2:6" ht="16" x14ac:dyDescent="0.2">
      <c r="B40" s="10" t="s">
        <v>295</v>
      </c>
      <c r="C40" s="11"/>
      <c r="D40" s="11"/>
      <c r="E40" s="11"/>
      <c r="F40" s="11"/>
    </row>
    <row r="41" spans="2:6" ht="16" x14ac:dyDescent="0.2">
      <c r="B41" s="12" t="s">
        <v>215</v>
      </c>
      <c r="C41" s="12" t="s">
        <v>216</v>
      </c>
      <c r="D41" s="12" t="s">
        <v>217</v>
      </c>
      <c r="E41" s="12" t="s">
        <v>218</v>
      </c>
      <c r="F41" s="12" t="s">
        <v>219</v>
      </c>
    </row>
    <row r="42" spans="2:6" ht="30" customHeight="1" x14ac:dyDescent="0.2">
      <c r="B42" s="6" t="s">
        <v>296</v>
      </c>
      <c r="C42" s="4"/>
      <c r="D42" s="34">
        <f>'Annex 7'!F20</f>
        <v>3.5000000000000003E-2</v>
      </c>
      <c r="E42" s="4" t="s">
        <v>263</v>
      </c>
      <c r="F42" s="1" t="s">
        <v>297</v>
      </c>
    </row>
    <row r="43" spans="2:6" ht="30" customHeight="1" x14ac:dyDescent="0.2">
      <c r="B43" s="6" t="s">
        <v>298</v>
      </c>
      <c r="C43" s="4"/>
      <c r="D43" s="34">
        <f>'Annex 7'!F21</f>
        <v>4.4999999999999998E-2</v>
      </c>
      <c r="E43" s="4" t="s">
        <v>263</v>
      </c>
      <c r="F43" s="1" t="s">
        <v>299</v>
      </c>
    </row>
    <row r="44" spans="2:6" ht="30" customHeight="1" x14ac:dyDescent="0.2">
      <c r="B44" s="6" t="s">
        <v>300</v>
      </c>
      <c r="C44" s="4" t="s">
        <v>301</v>
      </c>
      <c r="D44" s="34">
        <f>'Annex 7'!F23</f>
        <v>6.5000000000000002E-2</v>
      </c>
      <c r="E44" s="4" t="s">
        <v>263</v>
      </c>
      <c r="F44" s="1" t="s">
        <v>302</v>
      </c>
    </row>
    <row r="45" spans="2:6" ht="45" customHeight="1" x14ac:dyDescent="0.2">
      <c r="B45" s="6" t="s">
        <v>303</v>
      </c>
      <c r="C45" s="4"/>
      <c r="D45" s="30" t="s">
        <v>304</v>
      </c>
      <c r="E45" s="4"/>
      <c r="F45" s="1" t="s">
        <v>305</v>
      </c>
    </row>
    <row r="46" spans="2:6" ht="45" customHeight="1" x14ac:dyDescent="0.2">
      <c r="B46" s="35" t="s">
        <v>187</v>
      </c>
      <c r="C46" s="2" t="s">
        <v>301</v>
      </c>
      <c r="D46" s="24">
        <f>IF(LEFT($D$22,2)="A2",Defaults!$C$28,IF(LEFT($D$22,2)="A3",Defaults!$C$29,IF(OR($D$21="Track 1",AND($D$21="Track 2",LEFT($D$45,12)="Cancellation")),Defaults!$C$27,$D$44)))</f>
        <v>6.5000000000000002E-2</v>
      </c>
      <c r="E46" s="2" t="s">
        <v>263</v>
      </c>
      <c r="F46" s="36" t="s">
        <v>306</v>
      </c>
    </row>
    <row r="48" spans="2:6" ht="16" x14ac:dyDescent="0.2">
      <c r="B48" s="10" t="s">
        <v>307</v>
      </c>
      <c r="C48" s="11"/>
      <c r="D48" s="11"/>
      <c r="E48" s="11"/>
      <c r="F48" s="11"/>
    </row>
    <row r="49" spans="2:6" ht="16" x14ac:dyDescent="0.2">
      <c r="B49" s="12" t="s">
        <v>215</v>
      </c>
      <c r="C49" s="12" t="s">
        <v>216</v>
      </c>
      <c r="D49" s="12" t="s">
        <v>217</v>
      </c>
      <c r="E49" s="12" t="s">
        <v>218</v>
      </c>
      <c r="F49" s="12" t="s">
        <v>219</v>
      </c>
    </row>
    <row r="50" spans="2:6" ht="17" x14ac:dyDescent="0.2">
      <c r="B50" s="6" t="s">
        <v>308</v>
      </c>
      <c r="C50" s="4"/>
      <c r="D50" s="30" t="s">
        <v>580</v>
      </c>
      <c r="E50" s="4"/>
      <c r="F50" s="1" t="s">
        <v>310</v>
      </c>
    </row>
    <row r="51" spans="2:6" ht="30" customHeight="1" x14ac:dyDescent="0.2">
      <c r="B51" s="6" t="s">
        <v>311</v>
      </c>
      <c r="C51" s="4"/>
      <c r="D51" s="30" t="s">
        <v>581</v>
      </c>
      <c r="E51" s="4"/>
      <c r="F51" s="1" t="s">
        <v>313</v>
      </c>
    </row>
    <row r="52" spans="2:6" ht="34" x14ac:dyDescent="0.2">
      <c r="B52" s="6" t="s">
        <v>314</v>
      </c>
      <c r="C52" s="4" t="s">
        <v>315</v>
      </c>
      <c r="D52" s="37">
        <f>INDEX(Defaults!$D$52:$D$57,MATCH($D$50,Defaults!$B$52:$B$57,0))</f>
        <v>0.15</v>
      </c>
      <c r="E52" s="4" t="s">
        <v>316</v>
      </c>
      <c r="F52" s="1" t="s">
        <v>317</v>
      </c>
    </row>
    <row r="53" spans="2:6" ht="30" customHeight="1" x14ac:dyDescent="0.2">
      <c r="B53" s="6" t="s">
        <v>318</v>
      </c>
      <c r="C53" s="4" t="s">
        <v>319</v>
      </c>
      <c r="D53" s="37">
        <f>INDEX(Defaults!$E$52:$E$57,MATCH($D$50,Defaults!$B$52:$B$57,0))</f>
        <v>0.42</v>
      </c>
      <c r="E53" s="4" t="s">
        <v>320</v>
      </c>
      <c r="F53" s="1" t="s">
        <v>317</v>
      </c>
    </row>
    <row r="54" spans="2:6" ht="51" x14ac:dyDescent="0.2">
      <c r="B54" s="6" t="s">
        <v>321</v>
      </c>
      <c r="C54" s="4"/>
      <c r="D54" s="30" t="s">
        <v>322</v>
      </c>
      <c r="E54" s="4"/>
      <c r="F54" s="1" t="s">
        <v>323</v>
      </c>
    </row>
    <row r="55" spans="2:6" ht="34" x14ac:dyDescent="0.2">
      <c r="B55" s="6" t="s">
        <v>324</v>
      </c>
      <c r="C55" s="4"/>
      <c r="D55" s="30" t="s">
        <v>325</v>
      </c>
      <c r="E55" s="4"/>
      <c r="F55" s="1" t="s">
        <v>326</v>
      </c>
    </row>
    <row r="56" spans="2:6" ht="51" x14ac:dyDescent="0.2">
      <c r="B56" s="6" t="s">
        <v>327</v>
      </c>
      <c r="C56" s="4"/>
      <c r="D56" s="30" t="s">
        <v>328</v>
      </c>
      <c r="E56" s="4"/>
      <c r="F56" s="1" t="s">
        <v>329</v>
      </c>
    </row>
    <row r="57" spans="2:6" ht="30" customHeight="1" x14ac:dyDescent="0.2">
      <c r="B57" s="6" t="s">
        <v>330</v>
      </c>
      <c r="C57" s="4" t="s">
        <v>331</v>
      </c>
      <c r="D57" s="38">
        <v>0</v>
      </c>
      <c r="E57" s="4" t="s">
        <v>332</v>
      </c>
      <c r="F57" s="1" t="s">
        <v>333</v>
      </c>
    </row>
    <row r="58" spans="2:6" ht="45" customHeight="1" x14ac:dyDescent="0.2">
      <c r="B58" s="6" t="s">
        <v>334</v>
      </c>
      <c r="C58" s="4"/>
      <c r="D58" s="30" t="s">
        <v>335</v>
      </c>
      <c r="E58" s="4"/>
      <c r="F58" s="1" t="s">
        <v>336</v>
      </c>
    </row>
    <row r="59" spans="2:6" ht="30" customHeight="1" x14ac:dyDescent="0.2">
      <c r="B59" s="6" t="s">
        <v>337</v>
      </c>
      <c r="C59" s="4"/>
      <c r="D59" s="33">
        <v>0.7</v>
      </c>
      <c r="E59" s="4" t="s">
        <v>263</v>
      </c>
      <c r="F59" s="1" t="s">
        <v>338</v>
      </c>
    </row>
    <row r="60" spans="2:6" ht="34" x14ac:dyDescent="0.2">
      <c r="B60" s="6" t="s">
        <v>339</v>
      </c>
      <c r="C60" s="4"/>
      <c r="D60" s="4" t="str">
        <f>IF(LEFT($D$23,2)="F1",IF($D$59&lt;Defaults!$C$45,"Below the 70% floor — residue not eligible","OK"),"n/a")</f>
        <v>n/a</v>
      </c>
      <c r="E60" s="4"/>
      <c r="F60" s="1" t="s">
        <v>340</v>
      </c>
    </row>
    <row r="61" spans="2:6" ht="68" x14ac:dyDescent="0.2">
      <c r="B61" s="6" t="s">
        <v>341</v>
      </c>
      <c r="C61" s="4"/>
      <c r="D61" s="30" t="s">
        <v>342</v>
      </c>
      <c r="E61" s="4"/>
      <c r="F61" s="1" t="s">
        <v>343</v>
      </c>
    </row>
    <row r="62" spans="2:6" ht="34" x14ac:dyDescent="0.2">
      <c r="B62" s="6" t="s">
        <v>344</v>
      </c>
      <c r="C62" s="4" t="s">
        <v>345</v>
      </c>
      <c r="D62" s="39">
        <v>0</v>
      </c>
      <c r="E62" s="4" t="s">
        <v>346</v>
      </c>
      <c r="F62" s="1" t="s">
        <v>347</v>
      </c>
    </row>
    <row r="63" spans="2:6" ht="34" x14ac:dyDescent="0.2">
      <c r="B63" s="6" t="s">
        <v>348</v>
      </c>
      <c r="C63" s="4" t="s">
        <v>349</v>
      </c>
      <c r="D63" s="40">
        <v>0</v>
      </c>
      <c r="E63" s="4" t="s">
        <v>350</v>
      </c>
      <c r="F63" s="1" t="s">
        <v>347</v>
      </c>
    </row>
    <row r="64" spans="2:6" ht="34" x14ac:dyDescent="0.2">
      <c r="B64" s="6" t="s">
        <v>351</v>
      </c>
      <c r="C64" s="4" t="s">
        <v>352</v>
      </c>
      <c r="D64" s="40">
        <v>0</v>
      </c>
      <c r="E64" s="4" t="s">
        <v>350</v>
      </c>
      <c r="F64" s="1" t="s">
        <v>347</v>
      </c>
    </row>
    <row r="65" spans="2:6" ht="17" x14ac:dyDescent="0.2">
      <c r="B65" s="6" t="s">
        <v>353</v>
      </c>
      <c r="C65" s="4" t="s">
        <v>345</v>
      </c>
      <c r="D65" s="41">
        <f>IF(LEFT($D$61,8)="Measured",$D$62,IF(RIGHT($D$61,6)="stover",Defaults!$C$34,IF(RIGHT($D$61,8)="residues",Defaults!$C$37,Defaults!$C$40)))</f>
        <v>8.0000000000000002E-3</v>
      </c>
      <c r="E65" s="4" t="s">
        <v>346</v>
      </c>
      <c r="F65" s="1" t="s">
        <v>154</v>
      </c>
    </row>
    <row r="66" spans="2:6" ht="17" x14ac:dyDescent="0.2">
      <c r="B66" s="6" t="s">
        <v>354</v>
      </c>
      <c r="C66" s="4" t="s">
        <v>349</v>
      </c>
      <c r="D66" s="42">
        <f>IF(LEFT($D$61,8)="Measured",$D$63,IF(RIGHT($D$61,6)="stover",Defaults!$C$35,IF(RIGHT($D$61,8)="residues",Defaults!$C$38,Defaults!$C$41)))</f>
        <v>3.0000000000000001E-3</v>
      </c>
      <c r="E66" s="4" t="s">
        <v>350</v>
      </c>
      <c r="F66" s="1" t="s">
        <v>154</v>
      </c>
    </row>
    <row r="67" spans="2:6" ht="17" x14ac:dyDescent="0.2">
      <c r="B67" s="6" t="s">
        <v>355</v>
      </c>
      <c r="C67" s="4" t="s">
        <v>352</v>
      </c>
      <c r="D67" s="42">
        <f>IF(LEFT($D$61,8)="Measured",$D$64,IF(RIGHT($D$61,6)="stover",Defaults!$C$36,IF(RIGHT($D$61,8)="residues",Defaults!$C$39,Defaults!$C$42)))</f>
        <v>1.4999999999999999E-2</v>
      </c>
      <c r="E67" s="4" t="s">
        <v>350</v>
      </c>
      <c r="F67" s="1" t="s">
        <v>154</v>
      </c>
    </row>
    <row r="68" spans="2:6" ht="30" customHeight="1" x14ac:dyDescent="0.2">
      <c r="B68" s="6" t="s">
        <v>356</v>
      </c>
      <c r="C68" s="4"/>
      <c r="D68" s="33">
        <v>0</v>
      </c>
      <c r="E68" s="4" t="s">
        <v>263</v>
      </c>
      <c r="F68" s="1" t="s">
        <v>357</v>
      </c>
    </row>
    <row r="69" spans="2:6" ht="45" customHeight="1" x14ac:dyDescent="0.2">
      <c r="B69" s="6" t="s">
        <v>358</v>
      </c>
      <c r="C69" s="4"/>
      <c r="D69" s="30" t="s">
        <v>359</v>
      </c>
      <c r="E69" s="4"/>
      <c r="F69" s="1" t="s">
        <v>360</v>
      </c>
    </row>
    <row r="70" spans="2:6" ht="17" x14ac:dyDescent="0.2">
      <c r="B70" s="6" t="s">
        <v>361</v>
      </c>
      <c r="C70" s="4" t="s">
        <v>362</v>
      </c>
      <c r="D70" s="38">
        <v>0.45</v>
      </c>
      <c r="E70" s="4" t="s">
        <v>363</v>
      </c>
      <c r="F70" s="1" t="s">
        <v>137</v>
      </c>
    </row>
    <row r="72" spans="2:6" ht="16" x14ac:dyDescent="0.2">
      <c r="B72" s="10" t="s">
        <v>364</v>
      </c>
      <c r="C72" s="11"/>
      <c r="D72" s="11"/>
      <c r="E72" s="11"/>
      <c r="F72" s="11"/>
    </row>
    <row r="73" spans="2:6" ht="16" x14ac:dyDescent="0.2">
      <c r="B73" s="12" t="s">
        <v>215</v>
      </c>
      <c r="C73" s="12" t="s">
        <v>216</v>
      </c>
      <c r="D73" s="12" t="s">
        <v>217</v>
      </c>
      <c r="E73" s="12" t="s">
        <v>218</v>
      </c>
      <c r="F73" s="12" t="s">
        <v>219</v>
      </c>
    </row>
    <row r="74" spans="2:6" ht="45" customHeight="1" x14ac:dyDescent="0.2">
      <c r="B74" s="6" t="s">
        <v>365</v>
      </c>
      <c r="C74" s="4"/>
      <c r="D74" s="30" t="s">
        <v>572</v>
      </c>
      <c r="E74" s="4"/>
      <c r="F74" s="1" t="s">
        <v>367</v>
      </c>
    </row>
    <row r="75" spans="2:6" ht="30" customHeight="1" x14ac:dyDescent="0.2">
      <c r="B75" s="6" t="s">
        <v>368</v>
      </c>
      <c r="C75" s="4" t="s">
        <v>369</v>
      </c>
      <c r="D75" s="32">
        <v>0.1</v>
      </c>
      <c r="E75" s="4" t="s">
        <v>263</v>
      </c>
      <c r="F75" s="1" t="s">
        <v>370</v>
      </c>
    </row>
    <row r="76" spans="2:6" ht="17" x14ac:dyDescent="0.2">
      <c r="B76" s="6" t="s">
        <v>371</v>
      </c>
      <c r="C76" s="4" t="s">
        <v>369</v>
      </c>
      <c r="D76" s="20">
        <f>IF($D$74="Measured",$D$75,Defaults!$C$23)</f>
        <v>0.1</v>
      </c>
      <c r="E76" s="4" t="s">
        <v>263</v>
      </c>
      <c r="F76" s="1" t="s">
        <v>124</v>
      </c>
    </row>
    <row r="77" spans="2:6" ht="17" x14ac:dyDescent="0.2">
      <c r="B77" s="6" t="s">
        <v>372</v>
      </c>
      <c r="C77" s="4"/>
      <c r="D77" s="30" t="s">
        <v>573</v>
      </c>
      <c r="E77" s="4"/>
      <c r="F77" s="1" t="s">
        <v>374</v>
      </c>
    </row>
    <row r="78" spans="2:6" ht="30" customHeight="1" x14ac:dyDescent="0.2">
      <c r="B78" s="6" t="s">
        <v>375</v>
      </c>
      <c r="C78" s="4" t="s">
        <v>376</v>
      </c>
      <c r="D78" s="39">
        <v>0.74</v>
      </c>
      <c r="E78" s="4" t="s">
        <v>363</v>
      </c>
      <c r="F78" s="1" t="s">
        <v>377</v>
      </c>
    </row>
    <row r="79" spans="2:6" ht="34" x14ac:dyDescent="0.2">
      <c r="B79" s="6" t="s">
        <v>378</v>
      </c>
      <c r="C79" s="4" t="s">
        <v>376</v>
      </c>
      <c r="D79" s="37">
        <f>INDEX(Defaults!$C$52:$C$57,MATCH($D$50,Defaults!$B$52:$B$57,0))</f>
        <v>0.55000000000000004</v>
      </c>
      <c r="E79" s="4" t="s">
        <v>363</v>
      </c>
      <c r="F79" s="1" t="s">
        <v>379</v>
      </c>
    </row>
    <row r="80" spans="2:6" ht="17" x14ac:dyDescent="0.2">
      <c r="B80" s="6" t="s">
        <v>181</v>
      </c>
      <c r="C80" s="4" t="s">
        <v>376</v>
      </c>
      <c r="D80" s="16">
        <f>IF($D$77="Default (Table 21)",$D$79,$D$78)</f>
        <v>0.74</v>
      </c>
      <c r="E80" s="4" t="s">
        <v>363</v>
      </c>
      <c r="F80" s="1" t="s">
        <v>374</v>
      </c>
    </row>
    <row r="81" spans="2:6" ht="30" customHeight="1" x14ac:dyDescent="0.2">
      <c r="B81" s="6" t="s">
        <v>380</v>
      </c>
      <c r="C81" s="4" t="s">
        <v>381</v>
      </c>
      <c r="D81" s="38">
        <v>0.3</v>
      </c>
      <c r="E81" s="4" t="s">
        <v>382</v>
      </c>
      <c r="F81" s="1" t="s">
        <v>383</v>
      </c>
    </row>
    <row r="82" spans="2:6" ht="17" x14ac:dyDescent="0.2">
      <c r="B82" s="6" t="s">
        <v>384</v>
      </c>
      <c r="C82" s="4" t="s">
        <v>381</v>
      </c>
      <c r="D82" s="17">
        <f>IF(ISNUMBER($D$81),$D$81,Defaults!$C$17)</f>
        <v>0.3</v>
      </c>
      <c r="E82" s="4" t="s">
        <v>382</v>
      </c>
      <c r="F82" s="1" t="s">
        <v>130</v>
      </c>
    </row>
    <row r="83" spans="2:6" ht="17" x14ac:dyDescent="0.2">
      <c r="B83" s="6" t="s">
        <v>385</v>
      </c>
      <c r="C83" s="4"/>
      <c r="D83" s="4" t="str">
        <f>IF(LEFT($D$84,8)="Method 3","Not applicable (Method 3)",IF($D$82&gt;Defaults!$C$18,"Not creditable under Method 1 (H:Corg above 0.50)",IF(AND($D$21="Track 1",$D$82&gt;Defaults!$C$17),"Track 1 default-route limit 0.40 exceeded — test the batch","Eligible")))</f>
        <v>Eligible</v>
      </c>
      <c r="E83" s="4"/>
      <c r="F83" s="1" t="s">
        <v>240</v>
      </c>
    </row>
    <row r="84" spans="2:6" ht="17" x14ac:dyDescent="0.2">
      <c r="B84" s="6" t="s">
        <v>386</v>
      </c>
      <c r="C84" s="4"/>
      <c r="D84" s="30" t="s">
        <v>387</v>
      </c>
      <c r="E84" s="4"/>
      <c r="F84" s="1" t="s">
        <v>130</v>
      </c>
    </row>
    <row r="85" spans="2:6" ht="17" x14ac:dyDescent="0.2">
      <c r="B85" s="6" t="s">
        <v>388</v>
      </c>
      <c r="C85" s="4"/>
      <c r="D85" s="17">
        <f>ROUND(MIN(0.5,MAX(0.2,CEILING($D$82,0.05))),2)</f>
        <v>0.3</v>
      </c>
      <c r="E85" s="4" t="s">
        <v>382</v>
      </c>
      <c r="F85" s="1" t="s">
        <v>389</v>
      </c>
    </row>
    <row r="86" spans="2:6" ht="30" customHeight="1" x14ac:dyDescent="0.2">
      <c r="B86" s="6" t="s">
        <v>390</v>
      </c>
      <c r="C86" s="4" t="s">
        <v>391</v>
      </c>
      <c r="D86" s="41">
        <f>INDEX(Defaults!$C$121:$I$154,MATCH($D$27,Defaults!$B$121:$B$154,0),MATCH($D$85,Defaults!$C$120:$I$120,0))</f>
        <v>0.80700000000000005</v>
      </c>
      <c r="E86" s="4" t="s">
        <v>263</v>
      </c>
      <c r="F86" s="1" t="s">
        <v>392</v>
      </c>
    </row>
    <row r="87" spans="2:6" ht="30" customHeight="1" x14ac:dyDescent="0.2">
      <c r="B87" s="6" t="s">
        <v>393</v>
      </c>
      <c r="C87" s="4" t="s">
        <v>391</v>
      </c>
      <c r="D87" s="39">
        <v>0</v>
      </c>
      <c r="E87" s="4" t="s">
        <v>263</v>
      </c>
      <c r="F87" s="1" t="s">
        <v>394</v>
      </c>
    </row>
    <row r="88" spans="2:6" ht="17" x14ac:dyDescent="0.2">
      <c r="B88" s="35" t="s">
        <v>184</v>
      </c>
      <c r="C88" s="2" t="s">
        <v>391</v>
      </c>
      <c r="D88" s="43">
        <f>IF(LEFT($D$84,8)="Method 3",Defaults!$C$12,IF(LEFT($D$84,8)="Method 2",MIN(Defaults!$C$13,$D$87),IF($D$82&gt;Defaults!$C$18,0,$D$86)))</f>
        <v>0.80700000000000005</v>
      </c>
      <c r="E88" s="2" t="s">
        <v>263</v>
      </c>
      <c r="F88" s="36" t="s">
        <v>130</v>
      </c>
    </row>
    <row r="89" spans="2:6" ht="51" x14ac:dyDescent="0.2">
      <c r="B89" s="6" t="s">
        <v>395</v>
      </c>
      <c r="C89" s="4"/>
      <c r="D89" s="30" t="s">
        <v>582</v>
      </c>
      <c r="E89" s="4"/>
      <c r="F89" s="1" t="s">
        <v>397</v>
      </c>
    </row>
    <row r="90" spans="2:6" ht="30" customHeight="1" x14ac:dyDescent="0.2">
      <c r="B90" s="6" t="s">
        <v>398</v>
      </c>
      <c r="C90" s="4"/>
      <c r="D90" s="30" t="s">
        <v>270</v>
      </c>
      <c r="E90" s="4"/>
      <c r="F90" s="1" t="s">
        <v>399</v>
      </c>
    </row>
    <row r="91" spans="2:6" ht="51" x14ac:dyDescent="0.2">
      <c r="B91" s="6" t="s">
        <v>185</v>
      </c>
      <c r="C91" s="4" t="s">
        <v>400</v>
      </c>
      <c r="D91" s="19">
        <f>IF($D$90="Yes",0,INDEX(Defaults!$C$67:$C$70,MATCH($D$89,Defaults!$B$67:$B$70,0)))</f>
        <v>0.05</v>
      </c>
      <c r="E91" s="4" t="s">
        <v>263</v>
      </c>
      <c r="F91" s="1" t="s">
        <v>397</v>
      </c>
    </row>
    <row r="92" spans="2:6" ht="17" x14ac:dyDescent="0.2">
      <c r="B92" s="6" t="s">
        <v>401</v>
      </c>
      <c r="C92" s="4"/>
      <c r="D92" s="44">
        <v>8</v>
      </c>
      <c r="E92" s="4" t="s">
        <v>402</v>
      </c>
      <c r="F92" s="1" t="s">
        <v>403</v>
      </c>
    </row>
    <row r="93" spans="2:6" ht="17" x14ac:dyDescent="0.2">
      <c r="B93" s="6" t="s">
        <v>404</v>
      </c>
      <c r="C93" s="4"/>
      <c r="D93" s="4" t="str">
        <f>IF(LEFT($D$22,2)="A1",IF($D$92&gt;Defaults!$C$48,"Above the 50 t/ha cap","OK"),"n/a")</f>
        <v>OK</v>
      </c>
      <c r="E93" s="4"/>
      <c r="F93" s="1" t="s">
        <v>403</v>
      </c>
    </row>
    <row r="95" spans="2:6" ht="16" x14ac:dyDescent="0.2">
      <c r="B95" s="10" t="s">
        <v>405</v>
      </c>
      <c r="C95" s="11"/>
      <c r="D95" s="11"/>
      <c r="E95" s="11"/>
      <c r="F95" s="11"/>
    </row>
    <row r="96" spans="2:6" ht="16" x14ac:dyDescent="0.2">
      <c r="B96" s="12" t="s">
        <v>215</v>
      </c>
      <c r="C96" s="12" t="s">
        <v>216</v>
      </c>
      <c r="D96" s="12" t="s">
        <v>217</v>
      </c>
      <c r="E96" s="12" t="s">
        <v>218</v>
      </c>
      <c r="F96" s="12" t="s">
        <v>219</v>
      </c>
    </row>
    <row r="97" spans="2:19" ht="17" x14ac:dyDescent="0.2">
      <c r="B97" s="6" t="s">
        <v>406</v>
      </c>
      <c r="C97" s="4"/>
      <c r="D97" s="30" t="s">
        <v>583</v>
      </c>
      <c r="E97" s="4"/>
      <c r="F97" s="1" t="s">
        <v>142</v>
      </c>
    </row>
    <row r="98" spans="2:19" ht="34" x14ac:dyDescent="0.2">
      <c r="B98" s="6" t="s">
        <v>408</v>
      </c>
      <c r="C98" s="4" t="s">
        <v>409</v>
      </c>
      <c r="D98" s="42">
        <f>INDEX(Defaults!$C$61:$C$63,MATCH($D$54,Defaults!$B$61:$B$63,0))</f>
        <v>5.4999999999999997E-3</v>
      </c>
      <c r="E98" s="4" t="s">
        <v>410</v>
      </c>
      <c r="F98" s="1" t="s">
        <v>411</v>
      </c>
    </row>
    <row r="99" spans="2:19" ht="30" customHeight="1" x14ac:dyDescent="0.2">
      <c r="B99" s="6" t="s">
        <v>412</v>
      </c>
      <c r="C99" s="4" t="s">
        <v>409</v>
      </c>
      <c r="D99" s="40">
        <v>0</v>
      </c>
      <c r="E99" s="4" t="s">
        <v>410</v>
      </c>
      <c r="F99" s="1" t="s">
        <v>413</v>
      </c>
    </row>
    <row r="100" spans="2:19" ht="30" customHeight="1" x14ac:dyDescent="0.2">
      <c r="B100" s="6" t="s">
        <v>414</v>
      </c>
      <c r="C100" s="4" t="s">
        <v>409</v>
      </c>
      <c r="D100" s="45">
        <f>MAX($D$99,IF($D$98&gt;0,$D$98,Defaults!$C$26))</f>
        <v>5.4999999999999997E-3</v>
      </c>
      <c r="E100" s="4" t="s">
        <v>410</v>
      </c>
      <c r="F100" s="1" t="s">
        <v>413</v>
      </c>
    </row>
    <row r="101" spans="2:19" ht="30" customHeight="1" x14ac:dyDescent="0.2">
      <c r="B101" s="6" t="s">
        <v>415</v>
      </c>
      <c r="C101" s="4" t="s">
        <v>416</v>
      </c>
      <c r="D101" s="46">
        <v>2.6800000000000001E-3</v>
      </c>
      <c r="E101" s="4" t="s">
        <v>417</v>
      </c>
      <c r="F101" s="1" t="s">
        <v>418</v>
      </c>
    </row>
    <row r="102" spans="2:19" ht="30" customHeight="1" x14ac:dyDescent="0.2">
      <c r="B102" s="6" t="s">
        <v>419</v>
      </c>
      <c r="C102" s="4" t="s">
        <v>420</v>
      </c>
      <c r="D102" s="39">
        <v>0.72</v>
      </c>
      <c r="E102" s="4" t="s">
        <v>421</v>
      </c>
      <c r="F102" s="1" t="s">
        <v>422</v>
      </c>
    </row>
    <row r="103" spans="2:19" ht="45" customHeight="1" x14ac:dyDescent="0.2">
      <c r="B103" s="6" t="s">
        <v>423</v>
      </c>
      <c r="C103" s="4" t="s">
        <v>424</v>
      </c>
      <c r="D103" s="46">
        <v>1.2E-4</v>
      </c>
      <c r="E103" s="4" t="s">
        <v>425</v>
      </c>
      <c r="F103" s="1" t="s">
        <v>426</v>
      </c>
    </row>
    <row r="104" spans="2:19" ht="45" customHeight="1" x14ac:dyDescent="0.2">
      <c r="B104" s="6" t="s">
        <v>427</v>
      </c>
      <c r="C104" s="4"/>
      <c r="D104" s="30" t="s">
        <v>428</v>
      </c>
      <c r="E104" s="4"/>
      <c r="F104" s="1" t="s">
        <v>429</v>
      </c>
    </row>
    <row r="106" spans="2:19" ht="16" x14ac:dyDescent="0.2">
      <c r="B106" s="10" t="s">
        <v>430</v>
      </c>
      <c r="C106" s="11"/>
      <c r="D106" s="11"/>
      <c r="E106" s="11"/>
      <c r="F106" s="11"/>
    </row>
    <row r="107" spans="2:19" ht="16" x14ac:dyDescent="0.2">
      <c r="B107" s="12" t="s">
        <v>215</v>
      </c>
      <c r="C107" s="12" t="s">
        <v>216</v>
      </c>
      <c r="D107" s="12" t="s">
        <v>217</v>
      </c>
      <c r="E107" s="12" t="s">
        <v>218</v>
      </c>
      <c r="F107" s="12" t="s">
        <v>219</v>
      </c>
    </row>
    <row r="108" spans="2:19" ht="45" customHeight="1" x14ac:dyDescent="0.2">
      <c r="B108" s="6" t="s">
        <v>431</v>
      </c>
      <c r="C108" s="4" t="s">
        <v>432</v>
      </c>
      <c r="D108" s="47">
        <v>0</v>
      </c>
      <c r="E108" s="4" t="s">
        <v>433</v>
      </c>
      <c r="F108" s="1" t="s">
        <v>434</v>
      </c>
    </row>
    <row r="109" spans="2:19" ht="34" x14ac:dyDescent="0.2">
      <c r="B109" s="6" t="s">
        <v>435</v>
      </c>
      <c r="C109" s="4"/>
      <c r="D109" s="4" t="str">
        <f>IF($D$21="Track 3","Option B (inventory)",IF($D$108&gt;0,"Option B (inventory)","Option A (default per tonne)"))</f>
        <v>Option A (default per tonne)</v>
      </c>
      <c r="E109" s="4"/>
      <c r="F109" s="1" t="s">
        <v>436</v>
      </c>
    </row>
    <row r="110" spans="2:19" ht="30" customHeight="1" x14ac:dyDescent="0.2">
      <c r="B110" s="6" t="s">
        <v>437</v>
      </c>
      <c r="C110" s="4"/>
      <c r="D110" s="4" t="str">
        <f>IF((IF(AND($D$21="Track 1",LEFT($D$22,2)&lt;&gt;"A1"),"Modules A2 and A3 are not available under Track 1 (Annex 3, Table 19). ","")&amp;IF(AND($D$21&lt;&gt;"Track 3",OR(LEFT($D$23,2)="F5",LEFT($D$23,2)="F6")),"Modules F5 and F6 are restricted to Track 3 (Annex 1). ","")&amp;IF(AND($D$21&lt;&gt;"Track 1",LEFT($D$84,8)="Method 1",NOT(ISNUMBER($D$26))),"Tracks 2 and 3 enter the gridded-dataset soil temperature (Section 8.5). ","")&amp;IF(AND($D$21="Track 3",$D$77="Default (Table 21)"),"Track 3 measures organic carbon (Section 8.4). ","")&amp;IF(AND($D$21&lt;&gt;"Track 1",LEFT($D$74,7)="Default"),"The biochar moisture default is restricted to Track 1 (PARC 8). ","")&amp;IF(AND($D$21&lt;&gt;"Track 1",LEFT($D$51,5)="Yield"),"The yield default is restricted to Track 1 (PARC 3). ","")&amp;IF(AND(LEFT($D$23,2)="F1",LEFT($D$51,5)="Yield"),"Module F1 residue is weighed at collection (Section 8.3). ","")&amp;IF(AND($D$21="Track 3",LEFT($D$104,5)="Small"),"The small-hub default is available to Tracks 1 and 2 only (Section 9.3). ","")&amp;IF(AND($D$21&lt;&gt;"Track 1",LEFT($D$97,6)="Option"),"Methane Options A and B are Track 1 routes (Section 9.4). ","")&amp;IF(AND($D$21="Track 3",LEFT($D$97,7)="Track 2"),"Track 3 measures methane continuously (Section 9.4). ","")&amp;IF(AND(LEFT($D$97,8)="Option A",LEFT($D$54,5)="Moist"),"Feedstock above 24% moisture is not creditable; dry before charging (Section 9.4). ","")&amp;IF(AND(LEFT($D$22,2)="A1",LEFT($D$84,8)="Method 3"),"Method 3 applies to Modules A2 and A3 only (Section 8.5). ","")&amp;IF(AND(LEFT($D$22,2)&lt;&gt;"A1",LEFT($D$84,8)&lt;&gt;"Method 3"),"Modules A2 and A3 apply Method 3 (Section 8.5). ","")&amp;IF(AND($D$21="Track 1",LEFT($D$84,8)="Method 2"),"Method 2 is available to Tracks 2 and 3 only (Section 8.5). ",""))="","OK",TRIM(IF(AND($D$21="Track 1",LEFT($D$22,2)&lt;&gt;"A1"),"Modules A2 and A3 are not available under Track 1 (Annex 3, Table 19). ","")&amp;IF(AND($D$21&lt;&gt;"Track 3",OR(LEFT($D$23,2)="F5",LEFT($D$23,2)="F6")),"Modules F5 and F6 are restricted to Track 3 (Annex 1). ","")&amp;IF(AND($D$21&lt;&gt;"Track 1",LEFT($D$84,8)="Method 1",NOT(ISNUMBER($D$26))),"Tracks 2 and 3 enter the gridded-dataset soil temperature (Section 8.5). ","")&amp;IF(AND($D$21="Track 3",$D$77="Default (Table 21)"),"Track 3 measures organic carbon (Section 8.4). ","")&amp;IF(AND($D$21&lt;&gt;"Track 1",LEFT($D$74,7)="Default"),"The biochar moisture default is restricted to Track 1 (PARC 8). ","")&amp;IF(AND($D$21&lt;&gt;"Track 1",LEFT($D$51,5)="Yield"),"The yield default is restricted to Track 1 (PARC 3). ","")&amp;IF(AND(LEFT($D$23,2)="F1",LEFT($D$51,5)="Yield"),"Module F1 residue is weighed at collection (Section 8.3). ","")&amp;IF(AND($D$21="Track 3",LEFT($D$104,5)="Small"),"The small-hub default is available to Tracks 1 and 2 only (Section 9.3). ","")&amp;IF(AND($D$21&lt;&gt;"Track 1",LEFT($D$97,6)="Option"),"Methane Options A and B are Track 1 routes (Section 9.4). ","")&amp;IF(AND($D$21="Track 3",LEFT($D$97,7)="Track 2"),"Track 3 measures methane continuously (Section 9.4). ","")&amp;IF(AND(LEFT($D$97,8)="Option A",LEFT($D$54,5)="Moist"),"Feedstock above 24% moisture is not creditable; dry before charging (Section 9.4). ","")&amp;IF(AND(LEFT($D$22,2)="A1",LEFT($D$84,8)="Method 3"),"Method 3 applies to Modules A2 and A3 only (Section 8.5). ","")&amp;IF(AND(LEFT($D$22,2)&lt;&gt;"A1",LEFT($D$84,8)&lt;&gt;"Method 3"),"Modules A2 and A3 apply Method 3 (Section 8.5). ","")&amp;IF(AND($D$21="Track 1",LEFT($D$84,8)="Method 2"),"Method 2 is available to Tracks 2 and 3 only (Section 8.5). ","")))</f>
        <v>OK</v>
      </c>
      <c r="E110" s="4"/>
      <c r="F110" s="1" t="s">
        <v>438</v>
      </c>
    </row>
    <row r="112" spans="2:19" ht="16" x14ac:dyDescent="0.2">
      <c r="B112" s="10" t="s">
        <v>439</v>
      </c>
      <c r="C112" s="11"/>
      <c r="D112" s="11"/>
      <c r="E112" s="11"/>
      <c r="F112" s="11"/>
      <c r="G112" s="11"/>
      <c r="H112" s="11"/>
      <c r="I112" s="11"/>
      <c r="J112" s="11"/>
      <c r="K112" s="11"/>
      <c r="L112" s="11"/>
      <c r="M112" s="11"/>
      <c r="N112" s="11"/>
      <c r="R112" s="11"/>
      <c r="S112" s="11"/>
    </row>
    <row r="113" spans="2:19" ht="16" x14ac:dyDescent="0.2">
      <c r="B113" s="12" t="s">
        <v>440</v>
      </c>
      <c r="C113" s="12" t="s">
        <v>216</v>
      </c>
      <c r="D113" s="48" t="s">
        <v>441</v>
      </c>
      <c r="E113" s="48" t="s">
        <v>442</v>
      </c>
      <c r="F113" s="48" t="s">
        <v>443</v>
      </c>
      <c r="G113" s="48" t="s">
        <v>444</v>
      </c>
      <c r="H113" s="48" t="s">
        <v>445</v>
      </c>
      <c r="I113" s="48" t="s">
        <v>446</v>
      </c>
      <c r="J113" s="48" t="s">
        <v>447</v>
      </c>
      <c r="K113" s="48" t="s">
        <v>448</v>
      </c>
      <c r="L113" s="48" t="s">
        <v>449</v>
      </c>
      <c r="M113" s="48" t="s">
        <v>450</v>
      </c>
      <c r="N113" s="48" t="s">
        <v>451</v>
      </c>
      <c r="R113" s="12" t="s">
        <v>218</v>
      </c>
      <c r="S113" s="12" t="s">
        <v>452</v>
      </c>
    </row>
    <row r="114" spans="2:19" ht="16" x14ac:dyDescent="0.2">
      <c r="B114" s="49" t="s">
        <v>453</v>
      </c>
    </row>
    <row r="115" spans="2:19" ht="17" x14ac:dyDescent="0.2">
      <c r="B115" s="6" t="s">
        <v>454</v>
      </c>
      <c r="C115" s="4"/>
      <c r="D115" s="50">
        <v>1</v>
      </c>
      <c r="E115" s="50">
        <v>1</v>
      </c>
      <c r="F115" s="50">
        <v>1</v>
      </c>
      <c r="G115" s="50">
        <v>1</v>
      </c>
      <c r="H115" s="50">
        <v>1</v>
      </c>
      <c r="I115" s="50">
        <v>1</v>
      </c>
      <c r="J115" s="50">
        <v>1</v>
      </c>
      <c r="K115" s="50">
        <v>1</v>
      </c>
      <c r="L115" s="50">
        <v>1</v>
      </c>
      <c r="M115" s="50">
        <v>1</v>
      </c>
      <c r="N115" s="51">
        <f>SUM(D115:M115)</f>
        <v>10</v>
      </c>
      <c r="R115" s="4"/>
      <c r="S115" s="9"/>
    </row>
    <row r="116" spans="2:19" ht="17" x14ac:dyDescent="0.2">
      <c r="B116" s="6" t="s">
        <v>455</v>
      </c>
      <c r="C116" s="4" t="s">
        <v>456</v>
      </c>
      <c r="D116" s="47">
        <v>1330</v>
      </c>
      <c r="E116" s="47">
        <v>1900</v>
      </c>
      <c r="F116" s="47">
        <v>1900</v>
      </c>
      <c r="G116" s="47">
        <v>1900</v>
      </c>
      <c r="H116" s="47">
        <v>1900</v>
      </c>
      <c r="I116" s="47">
        <v>1900</v>
      </c>
      <c r="J116" s="47">
        <v>1900</v>
      </c>
      <c r="K116" s="47">
        <v>1900</v>
      </c>
      <c r="L116" s="47">
        <v>1900</v>
      </c>
      <c r="M116" s="47">
        <v>1900</v>
      </c>
      <c r="N116" s="52">
        <f>SUM(D116:M116)</f>
        <v>18430</v>
      </c>
      <c r="R116" s="4" t="s">
        <v>457</v>
      </c>
      <c r="S116" s="9" t="s">
        <v>458</v>
      </c>
    </row>
    <row r="117" spans="2:19" ht="17" x14ac:dyDescent="0.2">
      <c r="B117" s="6" t="s">
        <v>459</v>
      </c>
      <c r="C117" s="4" t="s">
        <v>460</v>
      </c>
      <c r="D117" s="47">
        <v>4275</v>
      </c>
      <c r="E117" s="47">
        <v>6107</v>
      </c>
      <c r="F117" s="47">
        <v>6107</v>
      </c>
      <c r="G117" s="47">
        <v>6107</v>
      </c>
      <c r="H117" s="47">
        <v>6107</v>
      </c>
      <c r="I117" s="47">
        <v>6107</v>
      </c>
      <c r="J117" s="47">
        <v>6107</v>
      </c>
      <c r="K117" s="47">
        <v>6107</v>
      </c>
      <c r="L117" s="47">
        <v>6107</v>
      </c>
      <c r="M117" s="47">
        <v>6107</v>
      </c>
      <c r="N117" s="52">
        <f>SUM(D117:M117)</f>
        <v>59238</v>
      </c>
      <c r="R117" s="4" t="s">
        <v>226</v>
      </c>
      <c r="S117" s="9" t="s">
        <v>458</v>
      </c>
    </row>
    <row r="118" spans="2:19" ht="30" customHeight="1" x14ac:dyDescent="0.2">
      <c r="B118" s="6" t="s">
        <v>461</v>
      </c>
      <c r="C118" s="4" t="s">
        <v>462</v>
      </c>
      <c r="D118" s="44">
        <v>0</v>
      </c>
      <c r="E118" s="44">
        <v>0</v>
      </c>
      <c r="F118" s="44">
        <v>0</v>
      </c>
      <c r="G118" s="44">
        <v>0</v>
      </c>
      <c r="H118" s="44">
        <v>0</v>
      </c>
      <c r="I118" s="44">
        <v>0</v>
      </c>
      <c r="J118" s="44">
        <v>0</v>
      </c>
      <c r="K118" s="44">
        <v>0</v>
      </c>
      <c r="L118" s="44">
        <v>0</v>
      </c>
      <c r="M118" s="44">
        <v>0</v>
      </c>
      <c r="R118" s="4" t="s">
        <v>463</v>
      </c>
      <c r="S118" s="9" t="s">
        <v>464</v>
      </c>
    </row>
    <row r="119" spans="2:19" ht="17" x14ac:dyDescent="0.2">
      <c r="B119" s="6" t="s">
        <v>465</v>
      </c>
      <c r="C119" s="4" t="s">
        <v>466</v>
      </c>
      <c r="D119" s="47">
        <v>0</v>
      </c>
      <c r="E119" s="47">
        <v>0</v>
      </c>
      <c r="F119" s="47">
        <v>0</v>
      </c>
      <c r="G119" s="47">
        <v>0</v>
      </c>
      <c r="H119" s="47">
        <v>0</v>
      </c>
      <c r="I119" s="47">
        <v>0</v>
      </c>
      <c r="J119" s="47">
        <v>0</v>
      </c>
      <c r="K119" s="47">
        <v>0</v>
      </c>
      <c r="L119" s="47">
        <v>0</v>
      </c>
      <c r="M119" s="47">
        <v>0</v>
      </c>
      <c r="N119" s="52">
        <f t="shared" ref="N119:N130" si="0">SUM(D119:M119)</f>
        <v>0</v>
      </c>
      <c r="R119" s="4" t="s">
        <v>221</v>
      </c>
      <c r="S119" s="9" t="s">
        <v>137</v>
      </c>
    </row>
    <row r="120" spans="2:19" ht="30" customHeight="1" x14ac:dyDescent="0.2">
      <c r="B120" s="6" t="s">
        <v>467</v>
      </c>
      <c r="C120" s="4" t="s">
        <v>468</v>
      </c>
      <c r="D120" s="53">
        <v>40</v>
      </c>
      <c r="E120" s="53">
        <v>30</v>
      </c>
      <c r="F120" s="53">
        <v>25</v>
      </c>
      <c r="G120" s="53">
        <v>20</v>
      </c>
      <c r="H120" s="53">
        <v>20</v>
      </c>
      <c r="I120" s="53">
        <v>20</v>
      </c>
      <c r="J120" s="53">
        <v>20</v>
      </c>
      <c r="K120" s="53">
        <v>20</v>
      </c>
      <c r="L120" s="53">
        <v>20</v>
      </c>
      <c r="M120" s="53">
        <v>20</v>
      </c>
      <c r="N120" s="54">
        <f t="shared" si="0"/>
        <v>235</v>
      </c>
      <c r="R120" s="4" t="s">
        <v>226</v>
      </c>
      <c r="S120" s="9" t="s">
        <v>469</v>
      </c>
    </row>
    <row r="121" spans="2:19" ht="17" x14ac:dyDescent="0.2">
      <c r="B121" s="6" t="s">
        <v>470</v>
      </c>
      <c r="C121" s="4" t="s">
        <v>471</v>
      </c>
      <c r="D121" s="38">
        <v>0</v>
      </c>
      <c r="E121" s="38">
        <v>0</v>
      </c>
      <c r="F121" s="38">
        <v>0</v>
      </c>
      <c r="G121" s="38">
        <v>0</v>
      </c>
      <c r="H121" s="38">
        <v>0</v>
      </c>
      <c r="I121" s="38">
        <v>0</v>
      </c>
      <c r="J121" s="38">
        <v>0</v>
      </c>
      <c r="K121" s="38">
        <v>0</v>
      </c>
      <c r="L121" s="38">
        <v>0</v>
      </c>
      <c r="M121" s="38">
        <v>0</v>
      </c>
      <c r="N121" s="55">
        <f t="shared" si="0"/>
        <v>0</v>
      </c>
      <c r="R121" s="4" t="s">
        <v>472</v>
      </c>
      <c r="S121" s="9" t="s">
        <v>473</v>
      </c>
    </row>
    <row r="122" spans="2:19" ht="17" x14ac:dyDescent="0.2">
      <c r="B122" s="6" t="s">
        <v>474</v>
      </c>
      <c r="C122" s="4" t="s">
        <v>475</v>
      </c>
      <c r="D122" s="47">
        <v>0</v>
      </c>
      <c r="E122" s="47">
        <v>0</v>
      </c>
      <c r="F122" s="47">
        <v>0</v>
      </c>
      <c r="G122" s="47">
        <v>0</v>
      </c>
      <c r="H122" s="47">
        <v>0</v>
      </c>
      <c r="I122" s="47">
        <v>0</v>
      </c>
      <c r="J122" s="47">
        <v>0</v>
      </c>
      <c r="K122" s="47">
        <v>0</v>
      </c>
      <c r="L122" s="47">
        <v>0</v>
      </c>
      <c r="M122" s="47">
        <v>0</v>
      </c>
      <c r="N122" s="52">
        <f t="shared" si="0"/>
        <v>0</v>
      </c>
      <c r="R122" s="4" t="s">
        <v>476</v>
      </c>
      <c r="S122" s="9" t="s">
        <v>477</v>
      </c>
    </row>
    <row r="123" spans="2:19" ht="17" x14ac:dyDescent="0.2">
      <c r="B123" s="6" t="s">
        <v>478</v>
      </c>
      <c r="C123" s="4" t="s">
        <v>479</v>
      </c>
      <c r="D123" s="53">
        <v>12.8</v>
      </c>
      <c r="E123" s="53">
        <v>18.3</v>
      </c>
      <c r="F123" s="53">
        <v>18.3</v>
      </c>
      <c r="G123" s="53">
        <v>18.3</v>
      </c>
      <c r="H123" s="53">
        <v>18.3</v>
      </c>
      <c r="I123" s="53">
        <v>18.3</v>
      </c>
      <c r="J123" s="53">
        <v>18.3</v>
      </c>
      <c r="K123" s="53">
        <v>18.3</v>
      </c>
      <c r="L123" s="53">
        <v>18.3</v>
      </c>
      <c r="M123" s="53">
        <v>18.3</v>
      </c>
      <c r="N123" s="54">
        <f t="shared" si="0"/>
        <v>177.50000000000003</v>
      </c>
      <c r="R123" s="4" t="s">
        <v>480</v>
      </c>
      <c r="S123" s="9" t="s">
        <v>477</v>
      </c>
    </row>
    <row r="124" spans="2:19" ht="17" x14ac:dyDescent="0.2">
      <c r="B124" s="6" t="s">
        <v>481</v>
      </c>
      <c r="C124" s="4" t="s">
        <v>482</v>
      </c>
      <c r="D124" s="47">
        <v>0</v>
      </c>
      <c r="E124" s="47">
        <v>0</v>
      </c>
      <c r="F124" s="47">
        <v>0</v>
      </c>
      <c r="G124" s="47">
        <v>0</v>
      </c>
      <c r="H124" s="47">
        <v>0</v>
      </c>
      <c r="I124" s="47">
        <v>0</v>
      </c>
      <c r="J124" s="47">
        <v>0</v>
      </c>
      <c r="K124" s="47">
        <v>0</v>
      </c>
      <c r="L124" s="47">
        <v>0</v>
      </c>
      <c r="M124" s="47">
        <v>0</v>
      </c>
      <c r="N124" s="52">
        <f t="shared" si="0"/>
        <v>0</v>
      </c>
      <c r="R124" s="4" t="s">
        <v>221</v>
      </c>
      <c r="S124" s="9" t="s">
        <v>483</v>
      </c>
    </row>
    <row r="125" spans="2:19" ht="17" x14ac:dyDescent="0.2">
      <c r="B125" s="6" t="s">
        <v>484</v>
      </c>
      <c r="C125" s="4" t="s">
        <v>485</v>
      </c>
      <c r="D125" s="47">
        <v>2660</v>
      </c>
      <c r="E125" s="47">
        <v>3800</v>
      </c>
      <c r="F125" s="47">
        <v>3800</v>
      </c>
      <c r="G125" s="47">
        <v>3800</v>
      </c>
      <c r="H125" s="47">
        <v>3800</v>
      </c>
      <c r="I125" s="47">
        <v>3800</v>
      </c>
      <c r="J125" s="47">
        <v>3800</v>
      </c>
      <c r="K125" s="47">
        <v>3800</v>
      </c>
      <c r="L125" s="47">
        <v>3800</v>
      </c>
      <c r="M125" s="47">
        <v>3800</v>
      </c>
      <c r="N125" s="52">
        <f t="shared" si="0"/>
        <v>36860</v>
      </c>
      <c r="R125" s="4" t="s">
        <v>476</v>
      </c>
      <c r="S125" s="9" t="s">
        <v>486</v>
      </c>
    </row>
    <row r="126" spans="2:19" ht="17" x14ac:dyDescent="0.2">
      <c r="B126" s="6" t="s">
        <v>487</v>
      </c>
      <c r="C126" s="4" t="s">
        <v>488</v>
      </c>
      <c r="D126" s="53">
        <v>79.8</v>
      </c>
      <c r="E126" s="53">
        <v>114</v>
      </c>
      <c r="F126" s="53">
        <v>114</v>
      </c>
      <c r="G126" s="53">
        <v>114</v>
      </c>
      <c r="H126" s="53">
        <v>114</v>
      </c>
      <c r="I126" s="53">
        <v>114</v>
      </c>
      <c r="J126" s="53">
        <v>114</v>
      </c>
      <c r="K126" s="53">
        <v>114</v>
      </c>
      <c r="L126" s="53">
        <v>114</v>
      </c>
      <c r="M126" s="53">
        <v>114</v>
      </c>
      <c r="N126" s="54">
        <f t="shared" si="0"/>
        <v>1105.8</v>
      </c>
      <c r="R126" s="4" t="s">
        <v>480</v>
      </c>
      <c r="S126" s="9" t="s">
        <v>486</v>
      </c>
    </row>
    <row r="127" spans="2:19" ht="17" x14ac:dyDescent="0.2">
      <c r="B127" s="6" t="s">
        <v>489</v>
      </c>
      <c r="C127" s="4" t="s">
        <v>490</v>
      </c>
      <c r="D127" s="47">
        <v>71820</v>
      </c>
      <c r="E127" s="47">
        <v>102600</v>
      </c>
      <c r="F127" s="47">
        <v>102600</v>
      </c>
      <c r="G127" s="47">
        <v>102600</v>
      </c>
      <c r="H127" s="47">
        <v>102600</v>
      </c>
      <c r="I127" s="47">
        <v>102600</v>
      </c>
      <c r="J127" s="47">
        <v>102600</v>
      </c>
      <c r="K127" s="47">
        <v>102600</v>
      </c>
      <c r="L127" s="47">
        <v>102600</v>
      </c>
      <c r="M127" s="47">
        <v>102600</v>
      </c>
      <c r="N127" s="52">
        <f t="shared" si="0"/>
        <v>995220</v>
      </c>
      <c r="R127" s="4" t="s">
        <v>491</v>
      </c>
      <c r="S127" s="9" t="s">
        <v>492</v>
      </c>
    </row>
    <row r="128" spans="2:19" ht="17" x14ac:dyDescent="0.2">
      <c r="B128" s="6" t="s">
        <v>493</v>
      </c>
      <c r="C128" s="4" t="s">
        <v>494</v>
      </c>
      <c r="D128" s="47">
        <v>1436</v>
      </c>
      <c r="E128" s="47">
        <v>2052</v>
      </c>
      <c r="F128" s="47">
        <v>2052</v>
      </c>
      <c r="G128" s="47">
        <v>2052</v>
      </c>
      <c r="H128" s="47">
        <v>2052</v>
      </c>
      <c r="I128" s="47">
        <v>2052</v>
      </c>
      <c r="J128" s="47">
        <v>2052</v>
      </c>
      <c r="K128" s="47">
        <v>2052</v>
      </c>
      <c r="L128" s="47">
        <v>2052</v>
      </c>
      <c r="M128" s="47">
        <v>2052</v>
      </c>
      <c r="N128" s="52">
        <f t="shared" si="0"/>
        <v>19904</v>
      </c>
      <c r="R128" s="4" t="s">
        <v>476</v>
      </c>
      <c r="S128" s="9" t="s">
        <v>495</v>
      </c>
    </row>
    <row r="129" spans="2:19" ht="30" customHeight="1" x14ac:dyDescent="0.2">
      <c r="B129" s="6" t="s">
        <v>496</v>
      </c>
      <c r="C129" s="4" t="s">
        <v>497</v>
      </c>
      <c r="D129" s="47">
        <v>0</v>
      </c>
      <c r="E129" s="47">
        <v>0</v>
      </c>
      <c r="F129" s="47">
        <v>0</v>
      </c>
      <c r="G129" s="47">
        <v>0</v>
      </c>
      <c r="H129" s="47">
        <v>0</v>
      </c>
      <c r="I129" s="47">
        <v>0</v>
      </c>
      <c r="J129" s="47">
        <v>0</v>
      </c>
      <c r="K129" s="47">
        <v>0</v>
      </c>
      <c r="L129" s="47">
        <v>0</v>
      </c>
      <c r="M129" s="47">
        <v>0</v>
      </c>
      <c r="N129" s="52">
        <f t="shared" si="0"/>
        <v>0</v>
      </c>
      <c r="R129" s="4" t="s">
        <v>221</v>
      </c>
      <c r="S129" s="9" t="s">
        <v>498</v>
      </c>
    </row>
    <row r="130" spans="2:19" ht="30" customHeight="1" x14ac:dyDescent="0.2">
      <c r="B130" s="6" t="s">
        <v>499</v>
      </c>
      <c r="C130" s="4" t="s">
        <v>500</v>
      </c>
      <c r="D130" s="47">
        <v>0</v>
      </c>
      <c r="E130" s="47">
        <v>0</v>
      </c>
      <c r="F130" s="47">
        <v>0</v>
      </c>
      <c r="G130" s="47">
        <v>0</v>
      </c>
      <c r="H130" s="47">
        <v>0</v>
      </c>
      <c r="I130" s="47">
        <v>0</v>
      </c>
      <c r="J130" s="47">
        <v>0</v>
      </c>
      <c r="K130" s="47">
        <v>0</v>
      </c>
      <c r="L130" s="47">
        <v>0</v>
      </c>
      <c r="M130" s="47">
        <v>0</v>
      </c>
      <c r="N130" s="52">
        <f t="shared" si="0"/>
        <v>0</v>
      </c>
      <c r="R130" s="4" t="s">
        <v>226</v>
      </c>
      <c r="S130" s="9" t="s">
        <v>501</v>
      </c>
    </row>
    <row r="131" spans="2:19" ht="17" x14ac:dyDescent="0.2">
      <c r="B131" s="6" t="s">
        <v>502</v>
      </c>
      <c r="C131" s="4" t="s">
        <v>369</v>
      </c>
      <c r="D131" s="32"/>
      <c r="E131" s="32"/>
      <c r="F131" s="32"/>
      <c r="G131" s="32"/>
      <c r="H131" s="32"/>
      <c r="I131" s="32"/>
      <c r="J131" s="32"/>
      <c r="K131" s="32"/>
      <c r="L131" s="32"/>
      <c r="M131" s="32"/>
      <c r="R131" s="4" t="s">
        <v>263</v>
      </c>
      <c r="S131" s="9" t="s">
        <v>124</v>
      </c>
    </row>
    <row r="132" spans="2:19" ht="17" x14ac:dyDescent="0.2">
      <c r="B132" s="6" t="s">
        <v>503</v>
      </c>
      <c r="C132" s="4" t="s">
        <v>262</v>
      </c>
      <c r="D132" s="56">
        <f t="shared" ref="D132:M132" si="1">$D$28</f>
        <v>1.2500000000000001E-2</v>
      </c>
      <c r="E132" s="56">
        <f t="shared" si="1"/>
        <v>1.2500000000000001E-2</v>
      </c>
      <c r="F132" s="56">
        <f t="shared" si="1"/>
        <v>1.2500000000000001E-2</v>
      </c>
      <c r="G132" s="56">
        <f t="shared" si="1"/>
        <v>1.2500000000000001E-2</v>
      </c>
      <c r="H132" s="56">
        <f t="shared" si="1"/>
        <v>1.2500000000000001E-2</v>
      </c>
      <c r="I132" s="56">
        <f t="shared" si="1"/>
        <v>1.2500000000000001E-2</v>
      </c>
      <c r="J132" s="56">
        <f t="shared" si="1"/>
        <v>1.2500000000000001E-2</v>
      </c>
      <c r="K132" s="56">
        <f t="shared" si="1"/>
        <v>1.2500000000000001E-2</v>
      </c>
      <c r="L132" s="56">
        <f t="shared" si="1"/>
        <v>1.2500000000000001E-2</v>
      </c>
      <c r="M132" s="56">
        <f t="shared" si="1"/>
        <v>1.2500000000000001E-2</v>
      </c>
      <c r="R132" s="4" t="s">
        <v>263</v>
      </c>
      <c r="S132" s="9" t="s">
        <v>234</v>
      </c>
    </row>
    <row r="134" spans="2:19" ht="16" x14ac:dyDescent="0.2">
      <c r="B134" s="49" t="s">
        <v>504</v>
      </c>
    </row>
    <row r="135" spans="2:19" ht="17" x14ac:dyDescent="0.2">
      <c r="B135" s="6" t="s">
        <v>505</v>
      </c>
      <c r="C135" s="4" t="s">
        <v>369</v>
      </c>
      <c r="D135" s="20">
        <f t="shared" ref="D135:M135" si="2">IF(ISNUMBER(D$131),D$131,$D$76)</f>
        <v>0.1</v>
      </c>
      <c r="E135" s="20">
        <f t="shared" si="2"/>
        <v>0.1</v>
      </c>
      <c r="F135" s="20">
        <f t="shared" si="2"/>
        <v>0.1</v>
      </c>
      <c r="G135" s="20">
        <f t="shared" si="2"/>
        <v>0.1</v>
      </c>
      <c r="H135" s="20">
        <f t="shared" si="2"/>
        <v>0.1</v>
      </c>
      <c r="I135" s="20">
        <f t="shared" si="2"/>
        <v>0.1</v>
      </c>
      <c r="J135" s="20">
        <f t="shared" si="2"/>
        <v>0.1</v>
      </c>
      <c r="K135" s="20">
        <f t="shared" si="2"/>
        <v>0.1</v>
      </c>
      <c r="L135" s="20">
        <f t="shared" si="2"/>
        <v>0.1</v>
      </c>
      <c r="M135" s="20">
        <f t="shared" si="2"/>
        <v>0.1</v>
      </c>
      <c r="R135" s="4" t="s">
        <v>263</v>
      </c>
      <c r="S135" s="9" t="s">
        <v>124</v>
      </c>
    </row>
    <row r="136" spans="2:19" ht="17" x14ac:dyDescent="0.2">
      <c r="B136" s="6" t="s">
        <v>506</v>
      </c>
      <c r="C136" s="4" t="s">
        <v>507</v>
      </c>
      <c r="D136" s="21">
        <f t="shared" ref="D136:M136" si="3">D$115*D$116*(1-D$135)</f>
        <v>1197</v>
      </c>
      <c r="E136" s="21">
        <f t="shared" si="3"/>
        <v>1710</v>
      </c>
      <c r="F136" s="21">
        <f t="shared" si="3"/>
        <v>1710</v>
      </c>
      <c r="G136" s="21">
        <f t="shared" si="3"/>
        <v>1710</v>
      </c>
      <c r="H136" s="21">
        <f t="shared" si="3"/>
        <v>1710</v>
      </c>
      <c r="I136" s="21">
        <f t="shared" si="3"/>
        <v>1710</v>
      </c>
      <c r="J136" s="21">
        <f t="shared" si="3"/>
        <v>1710</v>
      </c>
      <c r="K136" s="21">
        <f t="shared" si="3"/>
        <v>1710</v>
      </c>
      <c r="L136" s="21">
        <f t="shared" si="3"/>
        <v>1710</v>
      </c>
      <c r="M136" s="21">
        <f t="shared" si="3"/>
        <v>1710</v>
      </c>
      <c r="N136" s="52">
        <f>SUM(D136:M136)</f>
        <v>16587</v>
      </c>
      <c r="R136" s="4" t="s">
        <v>226</v>
      </c>
      <c r="S136" s="9" t="s">
        <v>124</v>
      </c>
    </row>
    <row r="137" spans="2:19" ht="17" x14ac:dyDescent="0.2">
      <c r="B137" s="6" t="s">
        <v>508</v>
      </c>
      <c r="C137" s="4" t="s">
        <v>460</v>
      </c>
      <c r="D137" s="21">
        <f t="shared" ref="D137:M137" si="4">IF($D$51="Weighed",D$117,IF($D$52&gt;0,D$136/$D$52,0))</f>
        <v>4275</v>
      </c>
      <c r="E137" s="21">
        <f t="shared" si="4"/>
        <v>6107</v>
      </c>
      <c r="F137" s="21">
        <f t="shared" si="4"/>
        <v>6107</v>
      </c>
      <c r="G137" s="21">
        <f t="shared" si="4"/>
        <v>6107</v>
      </c>
      <c r="H137" s="21">
        <f t="shared" si="4"/>
        <v>6107</v>
      </c>
      <c r="I137" s="21">
        <f t="shared" si="4"/>
        <v>6107</v>
      </c>
      <c r="J137" s="21">
        <f t="shared" si="4"/>
        <v>6107</v>
      </c>
      <c r="K137" s="21">
        <f t="shared" si="4"/>
        <v>6107</v>
      </c>
      <c r="L137" s="21">
        <f t="shared" si="4"/>
        <v>6107</v>
      </c>
      <c r="M137" s="21">
        <f t="shared" si="4"/>
        <v>6107</v>
      </c>
      <c r="N137" s="52">
        <f>SUM(D137:M137)</f>
        <v>59238</v>
      </c>
      <c r="R137" s="4" t="s">
        <v>226</v>
      </c>
      <c r="S137" s="9" t="s">
        <v>509</v>
      </c>
    </row>
    <row r="138" spans="2:19" ht="17" x14ac:dyDescent="0.2">
      <c r="B138" s="6" t="s">
        <v>510</v>
      </c>
      <c r="C138" s="4"/>
      <c r="D138" s="4" t="str">
        <f t="shared" ref="D138:M138" si="5">IF($D$53&lt;=0,"n/a",IF(D$137&gt;0,IF(D$136/D$137&gt;$D$53,"Above ceiling","OK"),"n/a"))</f>
        <v>OK</v>
      </c>
      <c r="E138" s="4" t="str">
        <f t="shared" si="5"/>
        <v>OK</v>
      </c>
      <c r="F138" s="4" t="str">
        <f t="shared" si="5"/>
        <v>OK</v>
      </c>
      <c r="G138" s="4" t="str">
        <f t="shared" si="5"/>
        <v>OK</v>
      </c>
      <c r="H138" s="4" t="str">
        <f t="shared" si="5"/>
        <v>OK</v>
      </c>
      <c r="I138" s="4" t="str">
        <f t="shared" si="5"/>
        <v>OK</v>
      </c>
      <c r="J138" s="4" t="str">
        <f t="shared" si="5"/>
        <v>OK</v>
      </c>
      <c r="K138" s="4" t="str">
        <f t="shared" si="5"/>
        <v>OK</v>
      </c>
      <c r="L138" s="4" t="str">
        <f t="shared" si="5"/>
        <v>OK</v>
      </c>
      <c r="M138" s="4" t="str">
        <f t="shared" si="5"/>
        <v>OK</v>
      </c>
      <c r="R138" s="4"/>
      <c r="S138" s="9" t="s">
        <v>511</v>
      </c>
    </row>
    <row r="139" spans="2:19" ht="30" customHeight="1" x14ac:dyDescent="0.2">
      <c r="B139" s="6" t="s">
        <v>512</v>
      </c>
      <c r="C139" s="4" t="s">
        <v>513</v>
      </c>
      <c r="D139" s="21">
        <f>D$136*$D$80*Defaults!$C$5</f>
        <v>3247.8600000000029</v>
      </c>
      <c r="E139" s="21">
        <f>E$136*$D$80*Defaults!$C$5</f>
        <v>4639.8000000000047</v>
      </c>
      <c r="F139" s="21">
        <f>F$136*$D$80*Defaults!$C$5</f>
        <v>4639.8000000000047</v>
      </c>
      <c r="G139" s="21">
        <f>G$136*$D$80*Defaults!$C$5</f>
        <v>4639.8000000000047</v>
      </c>
      <c r="H139" s="21">
        <f>H$136*$D$80*Defaults!$C$5</f>
        <v>4639.8000000000047</v>
      </c>
      <c r="I139" s="21">
        <f>I$136*$D$80*Defaults!$C$5</f>
        <v>4639.8000000000047</v>
      </c>
      <c r="J139" s="21">
        <f>J$136*$D$80*Defaults!$C$5</f>
        <v>4639.8000000000047</v>
      </c>
      <c r="K139" s="21">
        <f>K$136*$D$80*Defaults!$C$5</f>
        <v>4639.8000000000047</v>
      </c>
      <c r="L139" s="21">
        <f>L$136*$D$80*Defaults!$C$5</f>
        <v>4639.8000000000047</v>
      </c>
      <c r="M139" s="21">
        <f>M$136*$D$80*Defaults!$C$5</f>
        <v>4639.8000000000047</v>
      </c>
      <c r="N139" s="52">
        <f>SUM(D139:M139)</f>
        <v>45006.060000000034</v>
      </c>
      <c r="R139" s="4" t="s">
        <v>221</v>
      </c>
      <c r="S139" s="9" t="s">
        <v>514</v>
      </c>
    </row>
    <row r="140" spans="2:19" ht="17" x14ac:dyDescent="0.2">
      <c r="B140" s="35" t="s">
        <v>227</v>
      </c>
      <c r="C140" s="2" t="s">
        <v>515</v>
      </c>
      <c r="D140" s="26">
        <f t="shared" ref="D140:M140" si="6">D$139*$D$88*(1-$D$91)*(1-$D$36)</f>
        <v>2365.4732755500022</v>
      </c>
      <c r="E140" s="26">
        <f t="shared" si="6"/>
        <v>3379.2475365000037</v>
      </c>
      <c r="F140" s="26">
        <f t="shared" si="6"/>
        <v>3379.2475365000037</v>
      </c>
      <c r="G140" s="26">
        <f t="shared" si="6"/>
        <v>3379.2475365000037</v>
      </c>
      <c r="H140" s="26">
        <f t="shared" si="6"/>
        <v>3379.2475365000037</v>
      </c>
      <c r="I140" s="26">
        <f t="shared" si="6"/>
        <v>3379.2475365000037</v>
      </c>
      <c r="J140" s="26">
        <f t="shared" si="6"/>
        <v>3379.2475365000037</v>
      </c>
      <c r="K140" s="26">
        <f t="shared" si="6"/>
        <v>3379.2475365000037</v>
      </c>
      <c r="L140" s="26">
        <f t="shared" si="6"/>
        <v>3379.2475365000037</v>
      </c>
      <c r="M140" s="26">
        <f t="shared" si="6"/>
        <v>3379.2475365000037</v>
      </c>
      <c r="N140" s="26">
        <f>SUM(D140:M140)</f>
        <v>32778.701104050029</v>
      </c>
      <c r="R140" s="2" t="s">
        <v>221</v>
      </c>
      <c r="S140" s="27" t="s">
        <v>516</v>
      </c>
    </row>
    <row r="142" spans="2:19" ht="16" x14ac:dyDescent="0.2">
      <c r="B142" s="49" t="s">
        <v>203</v>
      </c>
    </row>
    <row r="143" spans="2:19" ht="17" x14ac:dyDescent="0.2">
      <c r="B143" s="6" t="s">
        <v>517</v>
      </c>
      <c r="C143" s="4" t="s">
        <v>518</v>
      </c>
      <c r="D143" s="57">
        <f>IF(LEFT($D$97,8)="Option A",IF($D$54="Moist (&gt; 24%) — not creditable",0,D$136*$D$98),IF(LEFT($D$97,8)="Option B",D$136*$D$100,IF(LEFT($D$97,7)="Track 2",D$120*Defaults!$C$22,D$121)))*$D$29</f>
        <v>168</v>
      </c>
      <c r="E143" s="57">
        <f>IF(LEFT($D$97,8)="Option A",IF($D$54="Moist (&gt; 24%) — not creditable",0,E$136*$D$98),IF(LEFT($D$97,8)="Option B",E$136*$D$100,IF(LEFT($D$97,7)="Track 2",E$120*Defaults!$C$22,E$121)))*$D$29</f>
        <v>126</v>
      </c>
      <c r="F143" s="57">
        <f>IF(LEFT($D$97,8)="Option A",IF($D$54="Moist (&gt; 24%) — not creditable",0,F$136*$D$98),IF(LEFT($D$97,8)="Option B",F$136*$D$100,IF(LEFT($D$97,7)="Track 2",F$120*Defaults!$C$22,F$121)))*$D$29</f>
        <v>105</v>
      </c>
      <c r="G143" s="57">
        <f>IF(LEFT($D$97,8)="Option A",IF($D$54="Moist (&gt; 24%) — not creditable",0,G$136*$D$98),IF(LEFT($D$97,8)="Option B",G$136*$D$100,IF(LEFT($D$97,7)="Track 2",G$120*Defaults!$C$22,G$121)))*$D$29</f>
        <v>84</v>
      </c>
      <c r="H143" s="57">
        <f>IF(LEFT($D$97,8)="Option A",IF($D$54="Moist (&gt; 24%) — not creditable",0,H$136*$D$98),IF(LEFT($D$97,8)="Option B",H$136*$D$100,IF(LEFT($D$97,7)="Track 2",H$120*Defaults!$C$22,H$121)))*$D$29</f>
        <v>84</v>
      </c>
      <c r="I143" s="57">
        <f>IF(LEFT($D$97,8)="Option A",IF($D$54="Moist (&gt; 24%) — not creditable",0,I$136*$D$98),IF(LEFT($D$97,8)="Option B",I$136*$D$100,IF(LEFT($D$97,7)="Track 2",I$120*Defaults!$C$22,I$121)))*$D$29</f>
        <v>84</v>
      </c>
      <c r="J143" s="57">
        <f>IF(LEFT($D$97,8)="Option A",IF($D$54="Moist (&gt; 24%) — not creditable",0,J$136*$D$98),IF(LEFT($D$97,8)="Option B",J$136*$D$100,IF(LEFT($D$97,7)="Track 2",J$120*Defaults!$C$22,J$121)))*$D$29</f>
        <v>84</v>
      </c>
      <c r="K143" s="57">
        <f>IF(LEFT($D$97,8)="Option A",IF($D$54="Moist (&gt; 24%) — not creditable",0,K$136*$D$98),IF(LEFT($D$97,8)="Option B",K$136*$D$100,IF(LEFT($D$97,7)="Track 2",K$120*Defaults!$C$22,K$121)))*$D$29</f>
        <v>84</v>
      </c>
      <c r="L143" s="57">
        <f>IF(LEFT($D$97,8)="Option A",IF($D$54="Moist (&gt; 24%) — not creditable",0,L$136*$D$98),IF(LEFT($D$97,8)="Option B",L$136*$D$100,IF(LEFT($D$97,7)="Track 2",L$120*Defaults!$C$22,L$121)))*$D$29</f>
        <v>84</v>
      </c>
      <c r="M143" s="57">
        <f>IF(LEFT($D$97,8)="Option A",IF($D$54="Moist (&gt; 24%) — not creditable",0,M$136*$D$98),IF(LEFT($D$97,8)="Option B",M$136*$D$100,IF(LEFT($D$97,7)="Track 2",M$120*Defaults!$C$22,M$121)))*$D$29</f>
        <v>84</v>
      </c>
      <c r="N143" s="54">
        <f t="shared" ref="N143:N151" si="7">SUM(D143:M143)</f>
        <v>987</v>
      </c>
      <c r="R143" s="4" t="s">
        <v>221</v>
      </c>
      <c r="S143" s="9" t="s">
        <v>142</v>
      </c>
    </row>
    <row r="144" spans="2:19" ht="17" x14ac:dyDescent="0.2">
      <c r="B144" s="6" t="s">
        <v>519</v>
      </c>
      <c r="C144" s="4" t="s">
        <v>520</v>
      </c>
      <c r="D144" s="57">
        <f>IF(LEFT($D$104,9)="Small-hub",D$137*Defaults!$C$19,D$122*$D$101+D$123*$D$102)</f>
        <v>9.2159999999999993</v>
      </c>
      <c r="E144" s="57">
        <f>IF(LEFT($D$104,9)="Small-hub",E$137*Defaults!$C$19,E$122*$D$101+E$123*$D$102)</f>
        <v>13.176</v>
      </c>
      <c r="F144" s="57">
        <f>IF(LEFT($D$104,9)="Small-hub",F$137*Defaults!$C$19,F$122*$D$101+F$123*$D$102)</f>
        <v>13.176</v>
      </c>
      <c r="G144" s="57">
        <f>IF(LEFT($D$104,9)="Small-hub",G$137*Defaults!$C$19,G$122*$D$101+G$123*$D$102)</f>
        <v>13.176</v>
      </c>
      <c r="H144" s="57">
        <f>IF(LEFT($D$104,9)="Small-hub",H$137*Defaults!$C$19,H$122*$D$101+H$123*$D$102)</f>
        <v>13.176</v>
      </c>
      <c r="I144" s="57">
        <f>IF(LEFT($D$104,9)="Small-hub",I$137*Defaults!$C$19,I$122*$D$101+I$123*$D$102)</f>
        <v>13.176</v>
      </c>
      <c r="J144" s="57">
        <f>IF(LEFT($D$104,9)="Small-hub",J$137*Defaults!$C$19,J$122*$D$101+J$123*$D$102)</f>
        <v>13.176</v>
      </c>
      <c r="K144" s="57">
        <f>IF(LEFT($D$104,9)="Small-hub",K$137*Defaults!$C$19,K$122*$D$101+K$123*$D$102)</f>
        <v>13.176</v>
      </c>
      <c r="L144" s="57">
        <f>IF(LEFT($D$104,9)="Small-hub",L$137*Defaults!$C$19,L$122*$D$101+L$123*$D$102)</f>
        <v>13.176</v>
      </c>
      <c r="M144" s="57">
        <f>IF(LEFT($D$104,9)="Small-hub",M$137*Defaults!$C$19,M$122*$D$101+M$123*$D$102)</f>
        <v>13.176</v>
      </c>
      <c r="N144" s="54">
        <f t="shared" si="7"/>
        <v>127.80000000000001</v>
      </c>
      <c r="R144" s="4" t="s">
        <v>221</v>
      </c>
      <c r="S144" s="9" t="s">
        <v>137</v>
      </c>
    </row>
    <row r="145" spans="2:19" ht="17" x14ac:dyDescent="0.2">
      <c r="B145" s="6" t="s">
        <v>521</v>
      </c>
      <c r="C145" s="4" t="s">
        <v>466</v>
      </c>
      <c r="D145" s="57">
        <f>IF(LEFT($D$69,7)="Default",D$137*$D$70*Defaults!$C$24*Defaults!$C$25*$D$29*MAX(0,D$118),IF(LEFT($D$69,8)="Activity",D$119,0))</f>
        <v>0</v>
      </c>
      <c r="E145" s="57">
        <f>IF(LEFT($D$69,7)="Default",E$137*$D$70*Defaults!$C$24*Defaults!$C$25*$D$29*MAX(0,E$118),IF(LEFT($D$69,8)="Activity",E$119,0))</f>
        <v>0</v>
      </c>
      <c r="F145" s="57">
        <f>IF(LEFT($D$69,7)="Default",F$137*$D$70*Defaults!$C$24*Defaults!$C$25*$D$29*MAX(0,F$118),IF(LEFT($D$69,8)="Activity",F$119,0))</f>
        <v>0</v>
      </c>
      <c r="G145" s="57">
        <f>IF(LEFT($D$69,7)="Default",G$137*$D$70*Defaults!$C$24*Defaults!$C$25*$D$29*MAX(0,G$118),IF(LEFT($D$69,8)="Activity",G$119,0))</f>
        <v>0</v>
      </c>
      <c r="H145" s="57">
        <f>IF(LEFT($D$69,7)="Default",H$137*$D$70*Defaults!$C$24*Defaults!$C$25*$D$29*MAX(0,H$118),IF(LEFT($D$69,8)="Activity",H$119,0))</f>
        <v>0</v>
      </c>
      <c r="I145" s="57">
        <f>IF(LEFT($D$69,7)="Default",I$137*$D$70*Defaults!$C$24*Defaults!$C$25*$D$29*MAX(0,I$118),IF(LEFT($D$69,8)="Activity",I$119,0))</f>
        <v>0</v>
      </c>
      <c r="J145" s="57">
        <f>IF(LEFT($D$69,7)="Default",J$137*$D$70*Defaults!$C$24*Defaults!$C$25*$D$29*MAX(0,J$118),IF(LEFT($D$69,8)="Activity",J$119,0))</f>
        <v>0</v>
      </c>
      <c r="K145" s="57">
        <f>IF(LEFT($D$69,7)="Default",K$137*$D$70*Defaults!$C$24*Defaults!$C$25*$D$29*MAX(0,K$118),IF(LEFT($D$69,8)="Activity",K$119,0))</f>
        <v>0</v>
      </c>
      <c r="L145" s="57">
        <f>IF(LEFT($D$69,7)="Default",L$137*$D$70*Defaults!$C$24*Defaults!$C$25*$D$29*MAX(0,L$118),IF(LEFT($D$69,8)="Activity",L$119,0))</f>
        <v>0</v>
      </c>
      <c r="M145" s="57">
        <f>IF(LEFT($D$69,7)="Default",M$137*$D$70*Defaults!$C$24*Defaults!$C$25*$D$29*MAX(0,M$118),IF(LEFT($D$69,8)="Activity",M$119,0))</f>
        <v>0</v>
      </c>
      <c r="N145" s="54">
        <f t="shared" si="7"/>
        <v>0</v>
      </c>
      <c r="R145" s="4" t="s">
        <v>221</v>
      </c>
      <c r="S145" s="9" t="s">
        <v>137</v>
      </c>
    </row>
    <row r="146" spans="2:19" ht="17" x14ac:dyDescent="0.2">
      <c r="B146" s="6" t="s">
        <v>522</v>
      </c>
      <c r="C146" s="4" t="s">
        <v>482</v>
      </c>
      <c r="D146" s="57">
        <f t="shared" ref="D146:M146" si="8">D$124</f>
        <v>0</v>
      </c>
      <c r="E146" s="57">
        <f t="shared" si="8"/>
        <v>0</v>
      </c>
      <c r="F146" s="57">
        <f t="shared" si="8"/>
        <v>0</v>
      </c>
      <c r="G146" s="57">
        <f t="shared" si="8"/>
        <v>0</v>
      </c>
      <c r="H146" s="57">
        <f t="shared" si="8"/>
        <v>0</v>
      </c>
      <c r="I146" s="57">
        <f t="shared" si="8"/>
        <v>0</v>
      </c>
      <c r="J146" s="57">
        <f t="shared" si="8"/>
        <v>0</v>
      </c>
      <c r="K146" s="57">
        <f t="shared" si="8"/>
        <v>0</v>
      </c>
      <c r="L146" s="57">
        <f t="shared" si="8"/>
        <v>0</v>
      </c>
      <c r="M146" s="57">
        <f t="shared" si="8"/>
        <v>0</v>
      </c>
      <c r="N146" s="54">
        <f t="shared" si="7"/>
        <v>0</v>
      </c>
      <c r="R146" s="4" t="s">
        <v>221</v>
      </c>
      <c r="S146" s="9" t="s">
        <v>483</v>
      </c>
    </row>
    <row r="147" spans="2:19" ht="17" x14ac:dyDescent="0.2">
      <c r="B147" s="6" t="s">
        <v>523</v>
      </c>
      <c r="C147" s="4" t="s">
        <v>524</v>
      </c>
      <c r="D147" s="57">
        <f t="shared" ref="D147:M147" si="9">D$125*$D$101+D$126*$D$102</f>
        <v>64.584800000000001</v>
      </c>
      <c r="E147" s="57">
        <f t="shared" si="9"/>
        <v>92.263999999999996</v>
      </c>
      <c r="F147" s="57">
        <f t="shared" si="9"/>
        <v>92.263999999999996</v>
      </c>
      <c r="G147" s="57">
        <f t="shared" si="9"/>
        <v>92.263999999999996</v>
      </c>
      <c r="H147" s="57">
        <f t="shared" si="9"/>
        <v>92.263999999999996</v>
      </c>
      <c r="I147" s="57">
        <f t="shared" si="9"/>
        <v>92.263999999999996</v>
      </c>
      <c r="J147" s="57">
        <f t="shared" si="9"/>
        <v>92.263999999999996</v>
      </c>
      <c r="K147" s="57">
        <f t="shared" si="9"/>
        <v>92.263999999999996</v>
      </c>
      <c r="L147" s="57">
        <f t="shared" si="9"/>
        <v>92.263999999999996</v>
      </c>
      <c r="M147" s="57">
        <f t="shared" si="9"/>
        <v>92.263999999999996</v>
      </c>
      <c r="N147" s="54">
        <f t="shared" si="7"/>
        <v>894.96080000000006</v>
      </c>
      <c r="R147" s="4" t="s">
        <v>221</v>
      </c>
      <c r="S147" s="9" t="s">
        <v>142</v>
      </c>
    </row>
    <row r="148" spans="2:19" ht="17" x14ac:dyDescent="0.2">
      <c r="B148" s="6" t="s">
        <v>525</v>
      </c>
      <c r="C148" s="4" t="s">
        <v>526</v>
      </c>
      <c r="D148" s="57">
        <f t="shared" ref="D148:M148" si="10">D$127*$D$103</f>
        <v>8.6183999999999994</v>
      </c>
      <c r="E148" s="57">
        <f t="shared" si="10"/>
        <v>12.312000000000001</v>
      </c>
      <c r="F148" s="57">
        <f t="shared" si="10"/>
        <v>12.312000000000001</v>
      </c>
      <c r="G148" s="57">
        <f t="shared" si="10"/>
        <v>12.312000000000001</v>
      </c>
      <c r="H148" s="57">
        <f t="shared" si="10"/>
        <v>12.312000000000001</v>
      </c>
      <c r="I148" s="57">
        <f t="shared" si="10"/>
        <v>12.312000000000001</v>
      </c>
      <c r="J148" s="57">
        <f t="shared" si="10"/>
        <v>12.312000000000001</v>
      </c>
      <c r="K148" s="57">
        <f t="shared" si="10"/>
        <v>12.312000000000001</v>
      </c>
      <c r="L148" s="57">
        <f t="shared" si="10"/>
        <v>12.312000000000001</v>
      </c>
      <c r="M148" s="57">
        <f t="shared" si="10"/>
        <v>12.312000000000001</v>
      </c>
      <c r="N148" s="54">
        <f t="shared" si="7"/>
        <v>119.42639999999999</v>
      </c>
      <c r="R148" s="4" t="s">
        <v>221</v>
      </c>
      <c r="S148" s="9" t="s">
        <v>146</v>
      </c>
    </row>
    <row r="149" spans="2:19" ht="17" x14ac:dyDescent="0.2">
      <c r="B149" s="6" t="s">
        <v>527</v>
      </c>
      <c r="C149" s="4" t="s">
        <v>528</v>
      </c>
      <c r="D149" s="57">
        <f t="shared" ref="D149:M149" si="11">D$128*$D$101+D$129</f>
        <v>3.8484800000000003</v>
      </c>
      <c r="E149" s="57">
        <f t="shared" si="11"/>
        <v>5.4993600000000002</v>
      </c>
      <c r="F149" s="57">
        <f t="shared" si="11"/>
        <v>5.4993600000000002</v>
      </c>
      <c r="G149" s="57">
        <f t="shared" si="11"/>
        <v>5.4993600000000002</v>
      </c>
      <c r="H149" s="57">
        <f t="shared" si="11"/>
        <v>5.4993600000000002</v>
      </c>
      <c r="I149" s="57">
        <f t="shared" si="11"/>
        <v>5.4993600000000002</v>
      </c>
      <c r="J149" s="57">
        <f t="shared" si="11"/>
        <v>5.4993600000000002</v>
      </c>
      <c r="K149" s="57">
        <f t="shared" si="11"/>
        <v>5.4993600000000002</v>
      </c>
      <c r="L149" s="57">
        <f t="shared" si="11"/>
        <v>5.4993600000000002</v>
      </c>
      <c r="M149" s="57">
        <f t="shared" si="11"/>
        <v>5.4993600000000002</v>
      </c>
      <c r="N149" s="54">
        <f t="shared" si="7"/>
        <v>53.342720000000007</v>
      </c>
      <c r="R149" s="4" t="s">
        <v>221</v>
      </c>
      <c r="S149" s="9" t="s">
        <v>149</v>
      </c>
    </row>
    <row r="150" spans="2:19" ht="17" x14ac:dyDescent="0.2">
      <c r="B150" s="6" t="s">
        <v>529</v>
      </c>
      <c r="C150" s="4"/>
      <c r="D150" s="57">
        <f t="shared" ref="D150:M150" si="12">D$143+D$144+D$145+D$146+D$147+D$148+D$149</f>
        <v>254.26768000000001</v>
      </c>
      <c r="E150" s="57">
        <f t="shared" si="12"/>
        <v>249.25136000000001</v>
      </c>
      <c r="F150" s="57">
        <f t="shared" si="12"/>
        <v>228.25136000000001</v>
      </c>
      <c r="G150" s="57">
        <f t="shared" si="12"/>
        <v>207.25136000000001</v>
      </c>
      <c r="H150" s="57">
        <f t="shared" si="12"/>
        <v>207.25136000000001</v>
      </c>
      <c r="I150" s="57">
        <f t="shared" si="12"/>
        <v>207.25136000000001</v>
      </c>
      <c r="J150" s="57">
        <f t="shared" si="12"/>
        <v>207.25136000000001</v>
      </c>
      <c r="K150" s="57">
        <f t="shared" si="12"/>
        <v>207.25136000000001</v>
      </c>
      <c r="L150" s="57">
        <f t="shared" si="12"/>
        <v>207.25136000000001</v>
      </c>
      <c r="M150" s="57">
        <f t="shared" si="12"/>
        <v>207.25136000000001</v>
      </c>
      <c r="N150" s="54">
        <f t="shared" si="7"/>
        <v>2182.5299199999999</v>
      </c>
      <c r="R150" s="4" t="s">
        <v>221</v>
      </c>
      <c r="S150" s="9" t="s">
        <v>134</v>
      </c>
    </row>
    <row r="151" spans="2:19" ht="17" x14ac:dyDescent="0.2">
      <c r="B151" s="35" t="s">
        <v>228</v>
      </c>
      <c r="C151" s="2" t="s">
        <v>530</v>
      </c>
      <c r="D151" s="26">
        <f t="shared" ref="D151:M151" si="13">D$150*(1+$D$37)</f>
        <v>266.981064</v>
      </c>
      <c r="E151" s="26">
        <f t="shared" si="13"/>
        <v>261.71392800000001</v>
      </c>
      <c r="F151" s="26">
        <f t="shared" si="13"/>
        <v>239.66392800000003</v>
      </c>
      <c r="G151" s="26">
        <f t="shared" si="13"/>
        <v>217.61392800000002</v>
      </c>
      <c r="H151" s="26">
        <f t="shared" si="13"/>
        <v>217.61392800000002</v>
      </c>
      <c r="I151" s="26">
        <f t="shared" si="13"/>
        <v>217.61392800000002</v>
      </c>
      <c r="J151" s="26">
        <f t="shared" si="13"/>
        <v>217.61392800000002</v>
      </c>
      <c r="K151" s="26">
        <f t="shared" si="13"/>
        <v>217.61392800000002</v>
      </c>
      <c r="L151" s="26">
        <f t="shared" si="13"/>
        <v>217.61392800000002</v>
      </c>
      <c r="M151" s="26">
        <f t="shared" si="13"/>
        <v>217.61392800000002</v>
      </c>
      <c r="N151" s="26">
        <f t="shared" si="7"/>
        <v>2291.6564160000003</v>
      </c>
      <c r="R151" s="2" t="s">
        <v>221</v>
      </c>
      <c r="S151" s="27" t="s">
        <v>531</v>
      </c>
    </row>
    <row r="153" spans="2:19" ht="16" x14ac:dyDescent="0.2">
      <c r="B153" s="49" t="s">
        <v>204</v>
      </c>
    </row>
    <row r="154" spans="2:19" ht="30" customHeight="1" x14ac:dyDescent="0.2">
      <c r="B154" s="6" t="s">
        <v>532</v>
      </c>
      <c r="C154" s="4" t="s">
        <v>432</v>
      </c>
      <c r="D154" s="57">
        <f>IF($D$109="Option B (inventory)",IF(1&lt;=$D$25,$D$108*D$115,0),IF(1&lt;=$D$25,D$136*IF($D$21="Track 1",Defaults!$C$20,Defaults!$C$21),0))</f>
        <v>59.85</v>
      </c>
      <c r="E154" s="57">
        <f>IF($D$109="Option B (inventory)",IF(2&lt;=$D$25,$D$108*E$115,0),IF(2&lt;=$D$25,E$136*IF($D$21="Track 1",Defaults!$C$20,Defaults!$C$21),0))</f>
        <v>85.5</v>
      </c>
      <c r="F154" s="57">
        <f>IF($D$109="Option B (inventory)",IF(3&lt;=$D$25,$D$108*F$115,0),IF(3&lt;=$D$25,F$136*IF($D$21="Track 1",Defaults!$C$20,Defaults!$C$21),0))</f>
        <v>85.5</v>
      </c>
      <c r="G154" s="57">
        <f>IF($D$109="Option B (inventory)",IF(4&lt;=$D$25,$D$108*G$115,0),IF(4&lt;=$D$25,G$136*IF($D$21="Track 1",Defaults!$C$20,Defaults!$C$21),0))</f>
        <v>85.5</v>
      </c>
      <c r="H154" s="57">
        <f>IF($D$109="Option B (inventory)",IF(5&lt;=$D$25,$D$108*H$115,0),IF(5&lt;=$D$25,H$136*IF($D$21="Track 1",Defaults!$C$20,Defaults!$C$21),0))</f>
        <v>85.5</v>
      </c>
      <c r="I154" s="57">
        <f>IF($D$109="Option B (inventory)",IF(6&lt;=$D$25,$D$108*I$115,0),IF(6&lt;=$D$25,I$136*IF($D$21="Track 1",Defaults!$C$20,Defaults!$C$21),0))</f>
        <v>0</v>
      </c>
      <c r="J154" s="57">
        <f>IF($D$109="Option B (inventory)",IF(7&lt;=$D$25,$D$108*J$115,0),IF(7&lt;=$D$25,J$136*IF($D$21="Track 1",Defaults!$C$20,Defaults!$C$21),0))</f>
        <v>0</v>
      </c>
      <c r="K154" s="57">
        <f>IF($D$109="Option B (inventory)",IF(8&lt;=$D$25,$D$108*K$115,0),IF(8&lt;=$D$25,K$136*IF($D$21="Track 1",Defaults!$C$20,Defaults!$C$21),0))</f>
        <v>0</v>
      </c>
      <c r="L154" s="57">
        <f>IF($D$109="Option B (inventory)",IF(9&lt;=$D$25,$D$108*L$115,0),IF(9&lt;=$D$25,L$136*IF($D$21="Track 1",Defaults!$C$20,Defaults!$C$21),0))</f>
        <v>0</v>
      </c>
      <c r="M154" s="57">
        <f>IF($D$109="Option B (inventory)",IF(10&lt;=$D$25,$D$108*M$115,0),IF(10&lt;=$D$25,M$136*IF($D$21="Track 1",Defaults!$C$20,Defaults!$C$21),0))</f>
        <v>0</v>
      </c>
      <c r="N154" s="54">
        <f t="shared" ref="N154:N159" si="14">SUM(D154:M154)</f>
        <v>401.85</v>
      </c>
      <c r="R154" s="4" t="s">
        <v>221</v>
      </c>
      <c r="S154" s="9" t="s">
        <v>436</v>
      </c>
    </row>
    <row r="155" spans="2:19" ht="17" x14ac:dyDescent="0.2">
      <c r="B155" s="6" t="s">
        <v>533</v>
      </c>
      <c r="C155" s="4" t="s">
        <v>534</v>
      </c>
      <c r="D155" s="57">
        <f>IF($D$55="Yes",0,D$130*IF(LEFT($D$56,6)="Fodder",$D$57,INDEX(Defaults!$C$74:$C$79,MATCH($D$56,Defaults!$B$74:$B$79,0))))</f>
        <v>0</v>
      </c>
      <c r="E155" s="57">
        <f>IF($D$55="Yes",0,E$130*IF(LEFT($D$56,6)="Fodder",$D$57,INDEX(Defaults!$C$74:$C$79,MATCH($D$56,Defaults!$B$74:$B$79,0))))</f>
        <v>0</v>
      </c>
      <c r="F155" s="57">
        <f>IF($D$55="Yes",0,F$130*IF(LEFT($D$56,6)="Fodder",$D$57,INDEX(Defaults!$C$74:$C$79,MATCH($D$56,Defaults!$B$74:$B$79,0))))</f>
        <v>0</v>
      </c>
      <c r="G155" s="57">
        <f>IF($D$55="Yes",0,G$130*IF(LEFT($D$56,6)="Fodder",$D$57,INDEX(Defaults!$C$74:$C$79,MATCH($D$56,Defaults!$B$74:$B$79,0))))</f>
        <v>0</v>
      </c>
      <c r="H155" s="57">
        <f>IF($D$55="Yes",0,H$130*IF(LEFT($D$56,6)="Fodder",$D$57,INDEX(Defaults!$C$74:$C$79,MATCH($D$56,Defaults!$B$74:$B$79,0))))</f>
        <v>0</v>
      </c>
      <c r="I155" s="57">
        <f>IF($D$55="Yes",0,I$130*IF(LEFT($D$56,6)="Fodder",$D$57,INDEX(Defaults!$C$74:$C$79,MATCH($D$56,Defaults!$B$74:$B$79,0))))</f>
        <v>0</v>
      </c>
      <c r="J155" s="57">
        <f>IF($D$55="Yes",0,J$130*IF(LEFT($D$56,6)="Fodder",$D$57,INDEX(Defaults!$C$74:$C$79,MATCH($D$56,Defaults!$B$74:$B$79,0))))</f>
        <v>0</v>
      </c>
      <c r="K155" s="57">
        <f>IF($D$55="Yes",0,K$130*IF(LEFT($D$56,6)="Fodder",$D$57,INDEX(Defaults!$C$74:$C$79,MATCH($D$56,Defaults!$B$74:$B$79,0))))</f>
        <v>0</v>
      </c>
      <c r="L155" s="57">
        <f>IF($D$55="Yes",0,L$130*IF(LEFT($D$56,6)="Fodder",$D$57,INDEX(Defaults!$C$74:$C$79,MATCH($D$56,Defaults!$B$74:$B$79,0))))</f>
        <v>0</v>
      </c>
      <c r="M155" s="57">
        <f>IF($D$55="Yes",0,M$130*IF(LEFT($D$56,6)="Fodder",$D$57,INDEX(Defaults!$C$74:$C$79,MATCH($D$56,Defaults!$B$74:$B$79,0))))</f>
        <v>0</v>
      </c>
      <c r="N155" s="54">
        <f t="shared" si="14"/>
        <v>0</v>
      </c>
      <c r="R155" s="4" t="s">
        <v>221</v>
      </c>
      <c r="S155" s="9" t="s">
        <v>535</v>
      </c>
    </row>
    <row r="156" spans="2:19" ht="30" customHeight="1" x14ac:dyDescent="0.2">
      <c r="B156" s="6" t="s">
        <v>536</v>
      </c>
      <c r="C156" s="4"/>
      <c r="D156" s="57">
        <f>IF(AND(LEFT($D$23,2)="F1",LEFT($D$58,8)="Retained"),D$137*Defaults!$C$32,0)</f>
        <v>0</v>
      </c>
      <c r="E156" s="57">
        <f>IF(AND(LEFT($D$23,2)="F1",LEFT($D$58,8)="Retained"),E$137*Defaults!$C$32,0)</f>
        <v>0</v>
      </c>
      <c r="F156" s="57">
        <f>IF(AND(LEFT($D$23,2)="F1",LEFT($D$58,8)="Retained"),F$137*Defaults!$C$32,0)</f>
        <v>0</v>
      </c>
      <c r="G156" s="57">
        <f>IF(AND(LEFT($D$23,2)="F1",LEFT($D$58,8)="Retained"),G$137*Defaults!$C$32,0)</f>
        <v>0</v>
      </c>
      <c r="H156" s="57">
        <f>IF(AND(LEFT($D$23,2)="F1",LEFT($D$58,8)="Retained"),H$137*Defaults!$C$32,0)</f>
        <v>0</v>
      </c>
      <c r="I156" s="57">
        <f>IF(AND(LEFT($D$23,2)="F1",LEFT($D$58,8)="Retained"),I$137*Defaults!$C$32,0)</f>
        <v>0</v>
      </c>
      <c r="J156" s="57">
        <f>IF(AND(LEFT($D$23,2)="F1",LEFT($D$58,8)="Retained"),J$137*Defaults!$C$32,0)</f>
        <v>0</v>
      </c>
      <c r="K156" s="57">
        <f>IF(AND(LEFT($D$23,2)="F1",LEFT($D$58,8)="Retained"),K$137*Defaults!$C$32,0)</f>
        <v>0</v>
      </c>
      <c r="L156" s="57">
        <f>IF(AND(LEFT($D$23,2)="F1",LEFT($D$58,8)="Retained"),L$137*Defaults!$C$32,0)</f>
        <v>0</v>
      </c>
      <c r="M156" s="57">
        <f>IF(AND(LEFT($D$23,2)="F1",LEFT($D$58,8)="Retained"),M$137*Defaults!$C$32,0)</f>
        <v>0</v>
      </c>
      <c r="N156" s="54">
        <f t="shared" si="14"/>
        <v>0</v>
      </c>
      <c r="R156" s="4" t="s">
        <v>221</v>
      </c>
      <c r="S156" s="9" t="s">
        <v>537</v>
      </c>
    </row>
    <row r="157" spans="2:19" ht="30" customHeight="1" x14ac:dyDescent="0.2">
      <c r="B157" s="6" t="s">
        <v>538</v>
      </c>
      <c r="C157" s="4"/>
      <c r="D157" s="57">
        <f>IF(LEFT($D$23,2)&lt;&gt;"F1",0,IF(LEFT($D$58,7)="Removed",0,D$137*(IF(LEFT($D$58,8)="Retained",$D$65*Defaults!$C$33,0)+(1-$D$68)*($D$66*Defaults!$C$43+$D$67*Defaults!$C$44))))</f>
        <v>0</v>
      </c>
      <c r="E157" s="57">
        <f>IF(LEFT($D$23,2)&lt;&gt;"F1",0,IF(LEFT($D$58,7)="Removed",0,E$137*(IF(LEFT($D$58,8)="Retained",$D$65*Defaults!$C$33,0)+(1-$D$68)*($D$66*Defaults!$C$43+$D$67*Defaults!$C$44))))</f>
        <v>0</v>
      </c>
      <c r="F157" s="57">
        <f>IF(LEFT($D$23,2)&lt;&gt;"F1",0,IF(LEFT($D$58,7)="Removed",0,F$137*(IF(LEFT($D$58,8)="Retained",$D$65*Defaults!$C$33,0)+(1-$D$68)*($D$66*Defaults!$C$43+$D$67*Defaults!$C$44))))</f>
        <v>0</v>
      </c>
      <c r="G157" s="57">
        <f>IF(LEFT($D$23,2)&lt;&gt;"F1",0,IF(LEFT($D$58,7)="Removed",0,G$137*(IF(LEFT($D$58,8)="Retained",$D$65*Defaults!$C$33,0)+(1-$D$68)*($D$66*Defaults!$C$43+$D$67*Defaults!$C$44))))</f>
        <v>0</v>
      </c>
      <c r="H157" s="57">
        <f>IF(LEFT($D$23,2)&lt;&gt;"F1",0,IF(LEFT($D$58,7)="Removed",0,H$137*(IF(LEFT($D$58,8)="Retained",$D$65*Defaults!$C$33,0)+(1-$D$68)*($D$66*Defaults!$C$43+$D$67*Defaults!$C$44))))</f>
        <v>0</v>
      </c>
      <c r="I157" s="57">
        <f>IF(LEFT($D$23,2)&lt;&gt;"F1",0,IF(LEFT($D$58,7)="Removed",0,I$137*(IF(LEFT($D$58,8)="Retained",$D$65*Defaults!$C$33,0)+(1-$D$68)*($D$66*Defaults!$C$43+$D$67*Defaults!$C$44))))</f>
        <v>0</v>
      </c>
      <c r="J157" s="57">
        <f>IF(LEFT($D$23,2)&lt;&gt;"F1",0,IF(LEFT($D$58,7)="Removed",0,J$137*(IF(LEFT($D$58,8)="Retained",$D$65*Defaults!$C$33,0)+(1-$D$68)*($D$66*Defaults!$C$43+$D$67*Defaults!$C$44))))</f>
        <v>0</v>
      </c>
      <c r="K157" s="57">
        <f>IF(LEFT($D$23,2)&lt;&gt;"F1",0,IF(LEFT($D$58,7)="Removed",0,K$137*(IF(LEFT($D$58,8)="Retained",$D$65*Defaults!$C$33,0)+(1-$D$68)*($D$66*Defaults!$C$43+$D$67*Defaults!$C$44))))</f>
        <v>0</v>
      </c>
      <c r="L157" s="57">
        <f>IF(LEFT($D$23,2)&lt;&gt;"F1",0,IF(LEFT($D$58,7)="Removed",0,L$137*(IF(LEFT($D$58,8)="Retained",$D$65*Defaults!$C$33,0)+(1-$D$68)*($D$66*Defaults!$C$43+$D$67*Defaults!$C$44))))</f>
        <v>0</v>
      </c>
      <c r="M157" s="57">
        <f>IF(LEFT($D$23,2)&lt;&gt;"F1",0,IF(LEFT($D$58,7)="Removed",0,M$137*(IF(LEFT($D$58,8)="Retained",$D$65*Defaults!$C$33,0)+(1-$D$68)*($D$66*Defaults!$C$43+$D$67*Defaults!$C$44))))</f>
        <v>0</v>
      </c>
      <c r="N157" s="54">
        <f t="shared" si="14"/>
        <v>0</v>
      </c>
      <c r="R157" s="4" t="s">
        <v>221</v>
      </c>
      <c r="S157" s="9" t="s">
        <v>539</v>
      </c>
    </row>
    <row r="158" spans="2:19" ht="17" x14ac:dyDescent="0.2">
      <c r="B158" s="6" t="s">
        <v>540</v>
      </c>
      <c r="C158" s="4"/>
      <c r="D158" s="57">
        <f t="shared" ref="D158:M158" si="15">D$154+D$155+D$156+D$157</f>
        <v>59.85</v>
      </c>
      <c r="E158" s="57">
        <f t="shared" si="15"/>
        <v>85.5</v>
      </c>
      <c r="F158" s="57">
        <f t="shared" si="15"/>
        <v>85.5</v>
      </c>
      <c r="G158" s="57">
        <f t="shared" si="15"/>
        <v>85.5</v>
      </c>
      <c r="H158" s="57">
        <f t="shared" si="15"/>
        <v>85.5</v>
      </c>
      <c r="I158" s="57">
        <f t="shared" si="15"/>
        <v>0</v>
      </c>
      <c r="J158" s="57">
        <f t="shared" si="15"/>
        <v>0</v>
      </c>
      <c r="K158" s="57">
        <f t="shared" si="15"/>
        <v>0</v>
      </c>
      <c r="L158" s="57">
        <f t="shared" si="15"/>
        <v>0</v>
      </c>
      <c r="M158" s="57">
        <f t="shared" si="15"/>
        <v>0</v>
      </c>
      <c r="N158" s="54">
        <f t="shared" si="14"/>
        <v>401.85</v>
      </c>
      <c r="R158" s="4" t="s">
        <v>221</v>
      </c>
      <c r="S158" s="9" t="s">
        <v>230</v>
      </c>
    </row>
    <row r="159" spans="2:19" ht="17" x14ac:dyDescent="0.2">
      <c r="B159" s="35" t="s">
        <v>229</v>
      </c>
      <c r="C159" s="2" t="s">
        <v>541</v>
      </c>
      <c r="D159" s="26">
        <f t="shared" ref="D159:M159" si="16">D$158*(1+$D$38)</f>
        <v>59.85</v>
      </c>
      <c r="E159" s="26">
        <f t="shared" si="16"/>
        <v>85.5</v>
      </c>
      <c r="F159" s="26">
        <f t="shared" si="16"/>
        <v>85.5</v>
      </c>
      <c r="G159" s="26">
        <f t="shared" si="16"/>
        <v>85.5</v>
      </c>
      <c r="H159" s="26">
        <f t="shared" si="16"/>
        <v>85.5</v>
      </c>
      <c r="I159" s="26">
        <f t="shared" si="16"/>
        <v>0</v>
      </c>
      <c r="J159" s="26">
        <f t="shared" si="16"/>
        <v>0</v>
      </c>
      <c r="K159" s="26">
        <f t="shared" si="16"/>
        <v>0</v>
      </c>
      <c r="L159" s="26">
        <f t="shared" si="16"/>
        <v>0</v>
      </c>
      <c r="M159" s="26">
        <f t="shared" si="16"/>
        <v>0</v>
      </c>
      <c r="N159" s="26">
        <f t="shared" si="14"/>
        <v>401.85</v>
      </c>
      <c r="R159" s="2" t="s">
        <v>221</v>
      </c>
      <c r="S159" s="27" t="s">
        <v>542</v>
      </c>
    </row>
    <row r="161" spans="2:19" ht="16" x14ac:dyDescent="0.2">
      <c r="B161" s="49" t="s">
        <v>543</v>
      </c>
    </row>
    <row r="162" spans="2:19" ht="17" x14ac:dyDescent="0.2">
      <c r="B162" s="6" t="s">
        <v>544</v>
      </c>
      <c r="C162" s="4" t="s">
        <v>545</v>
      </c>
      <c r="D162" s="21">
        <f>0</f>
        <v>0</v>
      </c>
      <c r="E162" s="21">
        <f>0</f>
        <v>0</v>
      </c>
      <c r="F162" s="21">
        <f>0</f>
        <v>0</v>
      </c>
      <c r="G162" s="21">
        <f>0</f>
        <v>0</v>
      </c>
      <c r="H162" s="21">
        <f>0</f>
        <v>0</v>
      </c>
      <c r="I162" s="21">
        <f>0</f>
        <v>0</v>
      </c>
      <c r="J162" s="21">
        <f>0</f>
        <v>0</v>
      </c>
      <c r="K162" s="21">
        <f>0</f>
        <v>0</v>
      </c>
      <c r="L162" s="21">
        <f>0</f>
        <v>0</v>
      </c>
      <c r="M162" s="21">
        <f>0</f>
        <v>0</v>
      </c>
      <c r="N162" s="52">
        <f>SUM(D162:M162)</f>
        <v>0</v>
      </c>
      <c r="R162" s="4" t="s">
        <v>221</v>
      </c>
      <c r="S162" s="9" t="s">
        <v>118</v>
      </c>
    </row>
    <row r="163" spans="2:19" ht="17" x14ac:dyDescent="0.2">
      <c r="B163" s="6" t="s">
        <v>546</v>
      </c>
      <c r="C163" s="4" t="s">
        <v>547</v>
      </c>
      <c r="D163" s="21">
        <f t="shared" ref="D163:M163" si="17">D$151+D$159</f>
        <v>326.83106400000003</v>
      </c>
      <c r="E163" s="21">
        <f t="shared" si="17"/>
        <v>347.21392800000001</v>
      </c>
      <c r="F163" s="21">
        <f t="shared" si="17"/>
        <v>325.16392800000006</v>
      </c>
      <c r="G163" s="21">
        <f t="shared" si="17"/>
        <v>303.11392799999999</v>
      </c>
      <c r="H163" s="21">
        <f t="shared" si="17"/>
        <v>303.11392799999999</v>
      </c>
      <c r="I163" s="21">
        <f t="shared" si="17"/>
        <v>217.61392800000002</v>
      </c>
      <c r="J163" s="21">
        <f t="shared" si="17"/>
        <v>217.61392800000002</v>
      </c>
      <c r="K163" s="21">
        <f t="shared" si="17"/>
        <v>217.61392800000002</v>
      </c>
      <c r="L163" s="21">
        <f t="shared" si="17"/>
        <v>217.61392800000002</v>
      </c>
      <c r="M163" s="21">
        <f t="shared" si="17"/>
        <v>217.61392800000002</v>
      </c>
      <c r="N163" s="52">
        <f>SUM(D163:M163)</f>
        <v>2693.5064160000006</v>
      </c>
      <c r="R163" s="4" t="s">
        <v>221</v>
      </c>
      <c r="S163" s="9" t="s">
        <v>548</v>
      </c>
    </row>
    <row r="164" spans="2:19" ht="30" customHeight="1" x14ac:dyDescent="0.2">
      <c r="B164" s="6" t="s">
        <v>549</v>
      </c>
      <c r="C164" s="4" t="s">
        <v>550</v>
      </c>
      <c r="D164" s="58">
        <f>0</f>
        <v>0</v>
      </c>
      <c r="E164" s="58">
        <f t="shared" ref="E164:M164" si="18">IF(D$165&lt;0,D$165,IF(D$167="Fail",MAX(0,D$165),0))</f>
        <v>0</v>
      </c>
      <c r="F164" s="58">
        <f t="shared" si="18"/>
        <v>0</v>
      </c>
      <c r="G164" s="58">
        <f t="shared" si="18"/>
        <v>0</v>
      </c>
      <c r="H164" s="58">
        <f t="shared" si="18"/>
        <v>0</v>
      </c>
      <c r="I164" s="58">
        <f t="shared" si="18"/>
        <v>0</v>
      </c>
      <c r="J164" s="58">
        <f t="shared" si="18"/>
        <v>0</v>
      </c>
      <c r="K164" s="58">
        <f t="shared" si="18"/>
        <v>0</v>
      </c>
      <c r="L164" s="58">
        <f t="shared" si="18"/>
        <v>0</v>
      </c>
      <c r="M164" s="58">
        <f t="shared" si="18"/>
        <v>0</v>
      </c>
      <c r="R164" s="4" t="s">
        <v>221</v>
      </c>
      <c r="S164" s="9" t="s">
        <v>551</v>
      </c>
    </row>
    <row r="165" spans="2:19" ht="17" x14ac:dyDescent="0.2">
      <c r="B165" s="35" t="s">
        <v>552</v>
      </c>
      <c r="C165" s="2" t="s">
        <v>553</v>
      </c>
      <c r="D165" s="59">
        <f t="shared" ref="D165:M165" si="19">D$140-D$162-D$163+D$164</f>
        <v>2038.6422115500022</v>
      </c>
      <c r="E165" s="59">
        <f t="shared" si="19"/>
        <v>3032.0336085000035</v>
      </c>
      <c r="F165" s="59">
        <f t="shared" si="19"/>
        <v>3054.0836085000037</v>
      </c>
      <c r="G165" s="59">
        <f t="shared" si="19"/>
        <v>3076.1336085000039</v>
      </c>
      <c r="H165" s="59">
        <f t="shared" si="19"/>
        <v>3076.1336085000039</v>
      </c>
      <c r="I165" s="59">
        <f t="shared" si="19"/>
        <v>3161.6336085000034</v>
      </c>
      <c r="J165" s="59">
        <f t="shared" si="19"/>
        <v>3161.6336085000034</v>
      </c>
      <c r="K165" s="59">
        <f t="shared" si="19"/>
        <v>3161.6336085000034</v>
      </c>
      <c r="L165" s="59">
        <f t="shared" si="19"/>
        <v>3161.6336085000034</v>
      </c>
      <c r="M165" s="59">
        <f t="shared" si="19"/>
        <v>3161.6336085000034</v>
      </c>
      <c r="R165" s="2" t="s">
        <v>221</v>
      </c>
      <c r="S165" s="27" t="s">
        <v>554</v>
      </c>
    </row>
    <row r="166" spans="2:19" ht="17" x14ac:dyDescent="0.2">
      <c r="B166" s="6" t="s">
        <v>555</v>
      </c>
      <c r="C166" s="4" t="s">
        <v>556</v>
      </c>
      <c r="D166" s="60">
        <f t="shared" ref="D166:M166" si="20">IF(D$150&gt;0,D$139/D$150,IF(D$139&gt;0,999,0))</f>
        <v>12.773389052041544</v>
      </c>
      <c r="E166" s="60">
        <f t="shared" si="20"/>
        <v>18.614943565403234</v>
      </c>
      <c r="F166" s="60">
        <f t="shared" si="20"/>
        <v>20.327589723890384</v>
      </c>
      <c r="G166" s="60">
        <f t="shared" si="20"/>
        <v>22.387307856508176</v>
      </c>
      <c r="H166" s="60">
        <f t="shared" si="20"/>
        <v>22.387307856508176</v>
      </c>
      <c r="I166" s="60">
        <f t="shared" si="20"/>
        <v>22.387307856508176</v>
      </c>
      <c r="J166" s="60">
        <f t="shared" si="20"/>
        <v>22.387307856508176</v>
      </c>
      <c r="K166" s="60">
        <f t="shared" si="20"/>
        <v>22.387307856508176</v>
      </c>
      <c r="L166" s="60">
        <f t="shared" si="20"/>
        <v>22.387307856508176</v>
      </c>
      <c r="M166" s="60">
        <f t="shared" si="20"/>
        <v>22.387307856508176</v>
      </c>
      <c r="R166" s="4" t="s">
        <v>382</v>
      </c>
      <c r="S166" s="9" t="s">
        <v>514</v>
      </c>
    </row>
    <row r="167" spans="2:19" ht="17" x14ac:dyDescent="0.2">
      <c r="B167" s="6" t="s">
        <v>557</v>
      </c>
      <c r="C167" s="4"/>
      <c r="D167" s="4" t="str">
        <f>IF(D$115=0,"n/a",IF(D$166&gt;=Defaults!$C$6,"Pass","Fail"))</f>
        <v>Pass</v>
      </c>
      <c r="E167" s="4" t="str">
        <f>IF(E$115=0,"n/a",IF(E$166&gt;=Defaults!$C$6,"Pass","Fail"))</f>
        <v>Pass</v>
      </c>
      <c r="F167" s="4" t="str">
        <f>IF(F$115=0,"n/a",IF(F$166&gt;=Defaults!$C$6,"Pass","Fail"))</f>
        <v>Pass</v>
      </c>
      <c r="G167" s="4" t="str">
        <f>IF(G$115=0,"n/a",IF(G$166&gt;=Defaults!$C$6,"Pass","Fail"))</f>
        <v>Pass</v>
      </c>
      <c r="H167" s="4" t="str">
        <f>IF(H$115=0,"n/a",IF(H$166&gt;=Defaults!$C$6,"Pass","Fail"))</f>
        <v>Pass</v>
      </c>
      <c r="I167" s="4" t="str">
        <f>IF(I$115=0,"n/a",IF(I$166&gt;=Defaults!$C$6,"Pass","Fail"))</f>
        <v>Pass</v>
      </c>
      <c r="J167" s="4" t="str">
        <f>IF(J$115=0,"n/a",IF(J$166&gt;=Defaults!$C$6,"Pass","Fail"))</f>
        <v>Pass</v>
      </c>
      <c r="K167" s="4" t="str">
        <f>IF(K$115=0,"n/a",IF(K$166&gt;=Defaults!$C$6,"Pass","Fail"))</f>
        <v>Pass</v>
      </c>
      <c r="L167" s="4" t="str">
        <f>IF(L$115=0,"n/a",IF(L$166&gt;=Defaults!$C$6,"Pass","Fail"))</f>
        <v>Pass</v>
      </c>
      <c r="M167" s="4" t="str">
        <f>IF(M$115=0,"n/a",IF(M$166&gt;=Defaults!$C$6,"Pass","Fail"))</f>
        <v>Pass</v>
      </c>
      <c r="N167" s="61">
        <f>COUNTIF(D167:M167,"Fail")</f>
        <v>0</v>
      </c>
      <c r="R167" s="4"/>
      <c r="S167" s="9" t="s">
        <v>163</v>
      </c>
    </row>
    <row r="168" spans="2:19" ht="17" x14ac:dyDescent="0.2">
      <c r="B168" s="6" t="s">
        <v>558</v>
      </c>
      <c r="C168" s="4" t="s">
        <v>559</v>
      </c>
      <c r="D168" s="21">
        <f t="shared" ref="D168:M168" si="21">IF(D$167="Pass",MAX(0,D$165)*$D$46,0)</f>
        <v>132.51174375075016</v>
      </c>
      <c r="E168" s="21">
        <f t="shared" si="21"/>
        <v>197.08218455250022</v>
      </c>
      <c r="F168" s="21">
        <f t="shared" si="21"/>
        <v>198.51543455250024</v>
      </c>
      <c r="G168" s="21">
        <f t="shared" si="21"/>
        <v>199.94868455250025</v>
      </c>
      <c r="H168" s="21">
        <f t="shared" si="21"/>
        <v>199.94868455250025</v>
      </c>
      <c r="I168" s="21">
        <f t="shared" si="21"/>
        <v>205.50618455250023</v>
      </c>
      <c r="J168" s="21">
        <f t="shared" si="21"/>
        <v>205.50618455250023</v>
      </c>
      <c r="K168" s="21">
        <f t="shared" si="21"/>
        <v>205.50618455250023</v>
      </c>
      <c r="L168" s="21">
        <f t="shared" si="21"/>
        <v>205.50618455250023</v>
      </c>
      <c r="M168" s="21">
        <f t="shared" si="21"/>
        <v>205.50618455250023</v>
      </c>
      <c r="N168" s="52">
        <f>SUM(D168:M168)</f>
        <v>1955.537654723252</v>
      </c>
      <c r="R168" s="4" t="s">
        <v>221</v>
      </c>
      <c r="S168" s="9" t="s">
        <v>560</v>
      </c>
    </row>
    <row r="169" spans="2:19" ht="17" x14ac:dyDescent="0.2">
      <c r="B169" s="6" t="s">
        <v>233</v>
      </c>
      <c r="C169" s="4" t="s">
        <v>561</v>
      </c>
      <c r="D169" s="21">
        <f t="shared" ref="D169:M169" si="22">IF(D$167="Pass",MAX(0,D$165)*D$132,0)</f>
        <v>25.483027644375028</v>
      </c>
      <c r="E169" s="21">
        <f t="shared" si="22"/>
        <v>37.900420106250046</v>
      </c>
      <c r="F169" s="21">
        <f t="shared" si="22"/>
        <v>38.176045106250051</v>
      </c>
      <c r="G169" s="21">
        <f t="shared" si="22"/>
        <v>38.451670106250049</v>
      </c>
      <c r="H169" s="21">
        <f t="shared" si="22"/>
        <v>38.451670106250049</v>
      </c>
      <c r="I169" s="21">
        <f t="shared" si="22"/>
        <v>39.520420106250043</v>
      </c>
      <c r="J169" s="21">
        <f t="shared" si="22"/>
        <v>39.520420106250043</v>
      </c>
      <c r="K169" s="21">
        <f t="shared" si="22"/>
        <v>39.520420106250043</v>
      </c>
      <c r="L169" s="21">
        <f t="shared" si="22"/>
        <v>39.520420106250043</v>
      </c>
      <c r="M169" s="21">
        <f t="shared" si="22"/>
        <v>39.520420106250043</v>
      </c>
      <c r="N169" s="52">
        <f>SUM(D169:M169)</f>
        <v>376.06493360062552</v>
      </c>
      <c r="R169" s="4" t="s">
        <v>221</v>
      </c>
      <c r="S169" s="9" t="s">
        <v>562</v>
      </c>
    </row>
    <row r="170" spans="2:19" ht="17" x14ac:dyDescent="0.2">
      <c r="B170" s="6" t="s">
        <v>563</v>
      </c>
      <c r="C170" s="4" t="s">
        <v>564</v>
      </c>
      <c r="D170" s="21">
        <f t="shared" ref="D170:M170" si="23">IF(D$167="Pass",MAX(0,D$165-D$168-D$169),0)</f>
        <v>1880.6474401548771</v>
      </c>
      <c r="E170" s="21">
        <f t="shared" si="23"/>
        <v>2797.0510038412535</v>
      </c>
      <c r="F170" s="21">
        <f t="shared" si="23"/>
        <v>2817.3921288412535</v>
      </c>
      <c r="G170" s="21">
        <f t="shared" si="23"/>
        <v>2837.7332538412538</v>
      </c>
      <c r="H170" s="21">
        <f t="shared" si="23"/>
        <v>2837.7332538412538</v>
      </c>
      <c r="I170" s="21">
        <f t="shared" si="23"/>
        <v>2916.6070038412531</v>
      </c>
      <c r="J170" s="21">
        <f t="shared" si="23"/>
        <v>2916.6070038412531</v>
      </c>
      <c r="K170" s="21">
        <f t="shared" si="23"/>
        <v>2916.6070038412531</v>
      </c>
      <c r="L170" s="21">
        <f t="shared" si="23"/>
        <v>2916.6070038412531</v>
      </c>
      <c r="M170" s="21">
        <f t="shared" si="23"/>
        <v>2916.6070038412531</v>
      </c>
      <c r="N170" s="52">
        <f>SUM(D170:M170)</f>
        <v>27753.59209972616</v>
      </c>
      <c r="R170" s="4" t="s">
        <v>221</v>
      </c>
      <c r="S170" s="9" t="s">
        <v>565</v>
      </c>
    </row>
    <row r="171" spans="2:19" ht="30" customHeight="1" x14ac:dyDescent="0.2">
      <c r="B171" s="35" t="s">
        <v>566</v>
      </c>
      <c r="C171" s="2" t="s">
        <v>567</v>
      </c>
      <c r="D171" s="26">
        <f>IF($D$21="Track 1",MIN(Defaults!$C$46,D$170),D$170)</f>
        <v>1880.6474401548771</v>
      </c>
      <c r="E171" s="26">
        <f>IF($D$21="Track 1",MIN(Defaults!$C$46,E$170),E$170)</f>
        <v>2797.0510038412535</v>
      </c>
      <c r="F171" s="26">
        <f>IF($D$21="Track 1",MIN(Defaults!$C$46,F$170),F$170)</f>
        <v>2817.3921288412535</v>
      </c>
      <c r="G171" s="26">
        <f>IF($D$21="Track 1",MIN(Defaults!$C$46,G$170),G$170)</f>
        <v>2837.7332538412538</v>
      </c>
      <c r="H171" s="26">
        <f>IF($D$21="Track 1",MIN(Defaults!$C$46,H$170),H$170)</f>
        <v>2837.7332538412538</v>
      </c>
      <c r="I171" s="26">
        <f>IF($D$21="Track 1",MIN(Defaults!$C$46,I$170),I$170)</f>
        <v>2916.6070038412531</v>
      </c>
      <c r="J171" s="26">
        <f>IF($D$21="Track 1",MIN(Defaults!$C$46,J$170),J$170)</f>
        <v>2916.6070038412531</v>
      </c>
      <c r="K171" s="26">
        <f>IF($D$21="Track 1",MIN(Defaults!$C$46,K$170),K$170)</f>
        <v>2916.6070038412531</v>
      </c>
      <c r="L171" s="26">
        <f>IF($D$21="Track 1",MIN(Defaults!$C$46,L$170),L$170)</f>
        <v>2916.6070038412531</v>
      </c>
      <c r="M171" s="26">
        <f>IF($D$21="Track 1",MIN(Defaults!$C$46,M$170),M$170)</f>
        <v>2916.6070038412531</v>
      </c>
      <c r="N171" s="26">
        <f>SUM(D171:M171)</f>
        <v>27753.59209972616</v>
      </c>
      <c r="R171" s="2" t="s">
        <v>221</v>
      </c>
      <c r="S171" s="27" t="s">
        <v>568</v>
      </c>
    </row>
    <row r="172" spans="2:19" ht="30" customHeight="1" x14ac:dyDescent="0.2">
      <c r="B172" s="6" t="s">
        <v>569</v>
      </c>
      <c r="C172" s="4"/>
      <c r="D172" s="21">
        <f t="shared" ref="D172:M172" si="24">D$170-D$171</f>
        <v>0</v>
      </c>
      <c r="E172" s="21">
        <f t="shared" si="24"/>
        <v>0</v>
      </c>
      <c r="F172" s="21">
        <f t="shared" si="24"/>
        <v>0</v>
      </c>
      <c r="G172" s="21">
        <f t="shared" si="24"/>
        <v>0</v>
      </c>
      <c r="H172" s="21">
        <f t="shared" si="24"/>
        <v>0</v>
      </c>
      <c r="I172" s="21">
        <f t="shared" si="24"/>
        <v>0</v>
      </c>
      <c r="J172" s="21">
        <f t="shared" si="24"/>
        <v>0</v>
      </c>
      <c r="K172" s="21">
        <f t="shared" si="24"/>
        <v>0</v>
      </c>
      <c r="L172" s="21">
        <f t="shared" si="24"/>
        <v>0</v>
      </c>
      <c r="M172" s="21">
        <f t="shared" si="24"/>
        <v>0</v>
      </c>
      <c r="N172" s="52">
        <f>SUM(D172:M172)</f>
        <v>0</v>
      </c>
      <c r="R172" s="4" t="s">
        <v>221</v>
      </c>
      <c r="S172" s="9" t="s">
        <v>240</v>
      </c>
    </row>
  </sheetData>
  <sheetProtection password="8666" sheet="1" formatColumns="0" formatRows="0"/>
  <mergeCells count="1">
    <mergeCell ref="B3:F3"/>
  </mergeCells>
  <pageMargins left="0.75" right="0.75" top="1" bottom="1" header="0.511811023622047" footer="0.511811023622047"/>
  <pageSetup paperSize="9" orientation="portrait" horizontalDpi="300" verticalDpi="300"/>
  <extLst>
    <ext xmlns:x14="http://schemas.microsoft.com/office/spreadsheetml/2009/9/main" uri="{CCE6A557-97BC-4b89-ADB6-D9C93CAAB3DF}">
      <x14:dataValidations xmlns:xm="http://schemas.microsoft.com/office/excel/2006/main" count="18">
        <x14:dataValidation type="list" xr:uid="{00000000-0002-0000-0600-000000000000}">
          <x14:formula1>
            <xm:f>Lists!$B$2:$B$4</xm:f>
          </x14:formula1>
          <x14:formula2>
            <xm:f>0</xm:f>
          </x14:formula2>
          <xm:sqref>D21</xm:sqref>
        </x14:dataValidation>
        <x14:dataValidation type="list" xr:uid="{00000000-0002-0000-0600-000001000000}">
          <x14:formula1>
            <xm:f>Lists!$C$2:$C$4</xm:f>
          </x14:formula1>
          <x14:formula2>
            <xm:f>0</xm:f>
          </x14:formula2>
          <xm:sqref>D22</xm:sqref>
        </x14:dataValidation>
        <x14:dataValidation type="list" xr:uid="{00000000-0002-0000-0600-000002000000}">
          <x14:formula1>
            <xm:f>Lists!$D$2:$D$7</xm:f>
          </x14:formula1>
          <x14:formula2>
            <xm:f>0</xm:f>
          </x14:formula2>
          <xm:sqref>D23</xm:sqref>
        </x14:dataValidation>
        <x14:dataValidation type="list" xr:uid="{00000000-0002-0000-0600-000003000000}">
          <x14:formula1>
            <xm:f>Lists!$J$2:$J$3</xm:f>
          </x14:formula1>
          <x14:formula2>
            <xm:f>0</xm:f>
          </x14:formula2>
          <xm:sqref>D30 D90 D55</xm:sqref>
        </x14:dataValidation>
        <x14:dataValidation type="list" xr:uid="{00000000-0002-0000-0600-000004000000}">
          <x14:formula1>
            <xm:f>Lists!$P$2:$P$3</xm:f>
          </x14:formula1>
          <x14:formula2>
            <xm:f>0</xm:f>
          </x14:formula2>
          <xm:sqref>D45</xm:sqref>
        </x14:dataValidation>
        <x14:dataValidation type="list" xr:uid="{00000000-0002-0000-0600-000005000000}">
          <x14:formula1>
            <xm:f>Defaults!$B$52:$B$57</xm:f>
          </x14:formula1>
          <x14:formula2>
            <xm:f>0</xm:f>
          </x14:formula2>
          <xm:sqref>D50</xm:sqref>
        </x14:dataValidation>
        <x14:dataValidation type="list" xr:uid="{00000000-0002-0000-0600-000006000000}">
          <x14:formula1>
            <xm:f>Lists!$I$2:$I$3</xm:f>
          </x14:formula1>
          <x14:formula2>
            <xm:f>0</xm:f>
          </x14:formula2>
          <xm:sqref>D51</xm:sqref>
        </x14:dataValidation>
        <x14:dataValidation type="list" xr:uid="{00000000-0002-0000-0600-000007000000}">
          <x14:formula1>
            <xm:f>Lists!$G$2:$G$4</xm:f>
          </x14:formula1>
          <x14:formula2>
            <xm:f>0</xm:f>
          </x14:formula2>
          <xm:sqref>D54</xm:sqref>
        </x14:dataValidation>
        <x14:dataValidation type="list" xr:uid="{00000000-0002-0000-0600-000009000000}">
          <x14:formula1>
            <xm:f>Defaults!$B$74:$B$79</xm:f>
          </x14:formula1>
          <x14:formula2>
            <xm:f>0</xm:f>
          </x14:formula2>
          <xm:sqref>D56</xm:sqref>
        </x14:dataValidation>
        <x14:dataValidation type="list" xr:uid="{00000000-0002-0000-0600-00000A000000}">
          <x14:formula1>
            <xm:f>Lists!$L$2:$L$4</xm:f>
          </x14:formula1>
          <x14:formula2>
            <xm:f>0</xm:f>
          </x14:formula2>
          <xm:sqref>D58</xm:sqref>
        </x14:dataValidation>
        <x14:dataValidation type="list" xr:uid="{00000000-0002-0000-0600-00000B000000}">
          <x14:formula1>
            <xm:f>Lists!$O$2:$O$5</xm:f>
          </x14:formula1>
          <x14:formula2>
            <xm:f>0</xm:f>
          </x14:formula2>
          <xm:sqref>D61</xm:sqref>
        </x14:dataValidation>
        <x14:dataValidation type="list" xr:uid="{00000000-0002-0000-0600-00000C000000}">
          <x14:formula1>
            <xm:f>Lists!$Q$2:$Q$4</xm:f>
          </x14:formula1>
          <x14:formula2>
            <xm:f>0</xm:f>
          </x14:formula2>
          <xm:sqref>D69</xm:sqref>
        </x14:dataValidation>
        <x14:dataValidation type="list" xr:uid="{00000000-0002-0000-0600-00000D000000}">
          <x14:formula1>
            <xm:f>Lists!$K$2:$K$3</xm:f>
          </x14:formula1>
          <x14:formula2>
            <xm:f>0</xm:f>
          </x14:formula2>
          <xm:sqref>D74</xm:sqref>
        </x14:dataValidation>
        <x14:dataValidation type="list" xr:uid="{00000000-0002-0000-0600-00000E000000}">
          <x14:formula1>
            <xm:f>Lists!$E$2:$E$3</xm:f>
          </x14:formula1>
          <x14:formula2>
            <xm:f>0</xm:f>
          </x14:formula2>
          <xm:sqref>D77</xm:sqref>
        </x14:dataValidation>
        <x14:dataValidation type="list" xr:uid="{00000000-0002-0000-0600-00000F000000}">
          <x14:formula1>
            <xm:f>Lists!$F$2:$F$4</xm:f>
          </x14:formula1>
          <x14:formula2>
            <xm:f>0</xm:f>
          </x14:formula2>
          <xm:sqref>D84</xm:sqref>
        </x14:dataValidation>
        <x14:dataValidation type="list" xr:uid="{00000000-0002-0000-0600-000010000000}">
          <x14:formula1>
            <xm:f>Defaults!$B$67:$B$70</xm:f>
          </x14:formula1>
          <x14:formula2>
            <xm:f>0</xm:f>
          </x14:formula2>
          <xm:sqref>D89</xm:sqref>
        </x14:dataValidation>
        <x14:dataValidation type="list" xr:uid="{00000000-0002-0000-0600-000012000000}">
          <x14:formula1>
            <xm:f>Lists!$H$2:$H$5</xm:f>
          </x14:formula1>
          <x14:formula2>
            <xm:f>0</xm:f>
          </x14:formula2>
          <xm:sqref>D97</xm:sqref>
        </x14:dataValidation>
        <x14:dataValidation type="list" xr:uid="{00000000-0002-0000-0600-000013000000}">
          <x14:formula1>
            <xm:f>Lists!$N$2:$N$3</xm:f>
          </x14:formula1>
          <x14:formula2>
            <xm:f>0</xm:f>
          </x14:formula2>
          <xm:sqref>D104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S172"/>
  <sheetViews>
    <sheetView showGridLines="0" zoomScaleNormal="100" workbookViewId="0">
      <pane xSplit="2" ySplit="4" topLeftCell="C5" activePane="bottomRight" state="frozen"/>
      <selection pane="topRight" activeCell="C1" sqref="C1"/>
      <selection pane="bottomLeft" activeCell="A5" sqref="A5"/>
      <selection pane="bottomRight"/>
    </sheetView>
  </sheetViews>
  <sheetFormatPr baseColWidth="10" defaultColWidth="8.5" defaultRowHeight="15" x14ac:dyDescent="0.2"/>
  <cols>
    <col min="1" max="1" width="3.1640625" customWidth="1"/>
    <col min="2" max="2" width="64" customWidth="1"/>
    <col min="3" max="3" width="22" customWidth="1"/>
    <col min="4" max="14" width="13" customWidth="1"/>
    <col min="18" max="18" width="16" customWidth="1"/>
    <col min="19" max="19" width="40" customWidth="1"/>
  </cols>
  <sheetData>
    <row r="1" spans="2:6" ht="25.5" customHeight="1" x14ac:dyDescent="0.25">
      <c r="B1" s="14" t="s">
        <v>584</v>
      </c>
    </row>
    <row r="2" spans="2:6" ht="16" x14ac:dyDescent="0.2">
      <c r="B2" s="9" t="s">
        <v>212</v>
      </c>
    </row>
    <row r="3" spans="2:6" ht="109.5" customHeight="1" x14ac:dyDescent="0.2">
      <c r="B3" s="80" t="s">
        <v>585</v>
      </c>
      <c r="C3" s="80"/>
      <c r="D3" s="80"/>
      <c r="E3" s="80"/>
      <c r="F3" s="80"/>
    </row>
    <row r="5" spans="2:6" ht="16" x14ac:dyDescent="0.2">
      <c r="B5" s="10" t="s">
        <v>214</v>
      </c>
      <c r="C5" s="11"/>
      <c r="D5" s="11"/>
      <c r="E5" s="11"/>
      <c r="F5" s="11"/>
    </row>
    <row r="6" spans="2:6" ht="16" x14ac:dyDescent="0.2">
      <c r="B6" s="12" t="s">
        <v>215</v>
      </c>
      <c r="C6" s="12" t="s">
        <v>216</v>
      </c>
      <c r="D6" s="12" t="s">
        <v>217</v>
      </c>
      <c r="E6" s="12" t="s">
        <v>218</v>
      </c>
      <c r="F6" s="12" t="s">
        <v>219</v>
      </c>
    </row>
    <row r="7" spans="2:6" ht="16" x14ac:dyDescent="0.2">
      <c r="B7" s="2" t="s">
        <v>220</v>
      </c>
      <c r="C7" s="25"/>
      <c r="D7" s="26">
        <f>$N$171</f>
        <v>30101.74422441093</v>
      </c>
      <c r="E7" s="2" t="s">
        <v>221</v>
      </c>
      <c r="F7" s="27" t="s">
        <v>222</v>
      </c>
    </row>
    <row r="8" spans="2:6" ht="16" x14ac:dyDescent="0.2">
      <c r="B8" s="2" t="s">
        <v>223</v>
      </c>
      <c r="C8" s="25"/>
      <c r="D8" s="22">
        <f>IF($N$136&gt;0,$N$171/$N$136,0)</f>
        <v>1.814779298511541</v>
      </c>
      <c r="E8" s="2" t="s">
        <v>224</v>
      </c>
      <c r="F8" s="27"/>
    </row>
    <row r="9" spans="2:6" ht="16" x14ac:dyDescent="0.2">
      <c r="B9" s="2" t="s">
        <v>225</v>
      </c>
      <c r="C9" s="25"/>
      <c r="D9" s="26">
        <f>$N$136</f>
        <v>16587</v>
      </c>
      <c r="E9" s="2" t="s">
        <v>226</v>
      </c>
      <c r="F9" s="27" t="s">
        <v>124</v>
      </c>
    </row>
    <row r="10" spans="2:6" ht="16" x14ac:dyDescent="0.2">
      <c r="B10" s="2" t="s">
        <v>227</v>
      </c>
      <c r="C10" s="25"/>
      <c r="D10" s="26">
        <f>$N$140</f>
        <v>35324.123461431911</v>
      </c>
      <c r="E10" s="2" t="s">
        <v>221</v>
      </c>
      <c r="F10" s="27" t="s">
        <v>121</v>
      </c>
    </row>
    <row r="11" spans="2:6" ht="16" x14ac:dyDescent="0.2">
      <c r="B11" s="2" t="s">
        <v>228</v>
      </c>
      <c r="C11" s="25"/>
      <c r="D11" s="26">
        <f>$N$151</f>
        <v>2291.6564160000003</v>
      </c>
      <c r="E11" s="2" t="s">
        <v>221</v>
      </c>
      <c r="F11" s="27" t="s">
        <v>134</v>
      </c>
    </row>
    <row r="12" spans="2:6" ht="16" x14ac:dyDescent="0.2">
      <c r="B12" s="2" t="s">
        <v>229</v>
      </c>
      <c r="C12" s="25"/>
      <c r="D12" s="26">
        <f>$N$159</f>
        <v>401.85</v>
      </c>
      <c r="E12" s="2" t="s">
        <v>221</v>
      </c>
      <c r="F12" s="27" t="s">
        <v>230</v>
      </c>
    </row>
    <row r="13" spans="2:6" ht="16" x14ac:dyDescent="0.2">
      <c r="B13" s="2" t="s">
        <v>231</v>
      </c>
      <c r="C13" s="25"/>
      <c r="D13" s="26">
        <f>$N$168</f>
        <v>2120.9901079530737</v>
      </c>
      <c r="E13" s="2" t="s">
        <v>221</v>
      </c>
      <c r="F13" s="27" t="s">
        <v>232</v>
      </c>
    </row>
    <row r="14" spans="2:6" ht="16" x14ac:dyDescent="0.2">
      <c r="B14" s="2" t="s">
        <v>233</v>
      </c>
      <c r="C14" s="25"/>
      <c r="D14" s="26">
        <f>$N$169</f>
        <v>407.88271306789886</v>
      </c>
      <c r="E14" s="2" t="s">
        <v>221</v>
      </c>
      <c r="F14" s="27" t="s">
        <v>234</v>
      </c>
    </row>
    <row r="15" spans="2:6" ht="16" x14ac:dyDescent="0.2">
      <c r="B15" s="2" t="s">
        <v>235</v>
      </c>
      <c r="C15" s="25"/>
      <c r="D15" s="28">
        <f>$N$167</f>
        <v>0</v>
      </c>
      <c r="E15" s="2" t="s">
        <v>236</v>
      </c>
      <c r="F15" s="27" t="s">
        <v>163</v>
      </c>
    </row>
    <row r="16" spans="2:6" ht="16" x14ac:dyDescent="0.2">
      <c r="B16" s="2" t="s">
        <v>237</v>
      </c>
      <c r="C16" s="25"/>
      <c r="D16" s="28">
        <f>COUNTIF(D165:M165,"&lt;0")</f>
        <v>0</v>
      </c>
      <c r="E16" s="2" t="s">
        <v>236</v>
      </c>
      <c r="F16" s="27" t="s">
        <v>238</v>
      </c>
    </row>
    <row r="17" spans="2:6" ht="16" x14ac:dyDescent="0.2">
      <c r="B17" s="2" t="s">
        <v>239</v>
      </c>
      <c r="C17" s="25"/>
      <c r="D17" s="26">
        <f>$N$172</f>
        <v>0</v>
      </c>
      <c r="E17" s="2" t="s">
        <v>221</v>
      </c>
      <c r="F17" s="27" t="s">
        <v>240</v>
      </c>
    </row>
    <row r="18" spans="2:6" ht="16" x14ac:dyDescent="0.2">
      <c r="B18" s="2" t="s">
        <v>241</v>
      </c>
      <c r="C18" s="25"/>
      <c r="D18" s="29" t="str">
        <f>IF(AND($D$83&lt;&gt;"Not creditable under Method 1 (H:Corg above 0.50)",$D$83&lt;&gt;"Track 1 default-route limit 0.40 exceeded — test the batch",$D$60&lt;&gt;"Below the 70% floor — residue not eligible",$D$93&lt;&gt;"Above the 50 t/ha cap",COUNTIF(D138:M138,"Above ceiling")=0,$D$110="OK"),"OK","Check Parts A to F: "&amp;$D$83&amp;"; "&amp;$D$60&amp;"; "&amp;$D$93&amp;"; mass-balance flags "&amp;COUNTIF(D138:M138,"Above ceiling")&amp;"; "&amp;$D$110)</f>
        <v>OK</v>
      </c>
      <c r="E18" s="2"/>
      <c r="F18" s="27"/>
    </row>
    <row r="19" spans="2:6" ht="16" x14ac:dyDescent="0.2">
      <c r="B19" s="10" t="s">
        <v>242</v>
      </c>
      <c r="C19" s="11"/>
      <c r="D19" s="11"/>
      <c r="E19" s="11"/>
      <c r="F19" s="11"/>
    </row>
    <row r="20" spans="2:6" ht="16" x14ac:dyDescent="0.2">
      <c r="B20" s="12" t="s">
        <v>215</v>
      </c>
      <c r="C20" s="12" t="s">
        <v>216</v>
      </c>
      <c r="D20" s="12" t="s">
        <v>217</v>
      </c>
      <c r="E20" s="12" t="s">
        <v>218</v>
      </c>
      <c r="F20" s="12" t="s">
        <v>219</v>
      </c>
    </row>
    <row r="21" spans="2:6" ht="51" x14ac:dyDescent="0.2">
      <c r="B21" s="6" t="s">
        <v>243</v>
      </c>
      <c r="C21" s="4"/>
      <c r="D21" s="30" t="s">
        <v>577</v>
      </c>
      <c r="E21" s="4"/>
      <c r="F21" s="1" t="s">
        <v>245</v>
      </c>
    </row>
    <row r="22" spans="2:6" ht="17" x14ac:dyDescent="0.2">
      <c r="B22" s="6" t="s">
        <v>179</v>
      </c>
      <c r="C22" s="4"/>
      <c r="D22" s="30" t="s">
        <v>246</v>
      </c>
      <c r="E22" s="4"/>
      <c r="F22" s="1" t="s">
        <v>247</v>
      </c>
    </row>
    <row r="23" spans="2:6" ht="17" x14ac:dyDescent="0.2">
      <c r="B23" s="6" t="s">
        <v>180</v>
      </c>
      <c r="C23" s="4"/>
      <c r="D23" s="30" t="s">
        <v>578</v>
      </c>
      <c r="E23" s="4"/>
      <c r="F23" s="1" t="s">
        <v>249</v>
      </c>
    </row>
    <row r="24" spans="2:6" ht="17" x14ac:dyDescent="0.2">
      <c r="B24" s="6" t="s">
        <v>250</v>
      </c>
      <c r="C24" s="4"/>
      <c r="D24" s="30" t="s">
        <v>579</v>
      </c>
      <c r="E24" s="4"/>
      <c r="F24" s="1" t="s">
        <v>240</v>
      </c>
    </row>
    <row r="25" spans="2:6" ht="30" customHeight="1" x14ac:dyDescent="0.2">
      <c r="B25" s="6" t="s">
        <v>252</v>
      </c>
      <c r="C25" s="4"/>
      <c r="D25" s="30">
        <v>5</v>
      </c>
      <c r="E25" s="4" t="s">
        <v>253</v>
      </c>
      <c r="F25" s="1" t="s">
        <v>254</v>
      </c>
    </row>
    <row r="26" spans="2:6" ht="45" customHeight="1" x14ac:dyDescent="0.2">
      <c r="B26" s="6" t="s">
        <v>255</v>
      </c>
      <c r="C26" s="4" t="s">
        <v>256</v>
      </c>
      <c r="D26" s="30">
        <v>24</v>
      </c>
      <c r="E26" s="4" t="s">
        <v>257</v>
      </c>
      <c r="F26" s="1" t="s">
        <v>258</v>
      </c>
    </row>
    <row r="27" spans="2:6" ht="30" customHeight="1" x14ac:dyDescent="0.2">
      <c r="B27" s="6" t="s">
        <v>259</v>
      </c>
      <c r="C27" s="4" t="s">
        <v>256</v>
      </c>
      <c r="D27" s="4">
        <f>ROUND(MIN(Defaults!$C$16,MAX(Defaults!$C$15,CEILING(IF(ISNUMBER($D$26),$D$26,Defaults!$C$14),1))),0)</f>
        <v>24</v>
      </c>
      <c r="E27" s="4" t="s">
        <v>257</v>
      </c>
      <c r="F27" s="1" t="s">
        <v>260</v>
      </c>
    </row>
    <row r="28" spans="2:6" ht="45" customHeight="1" x14ac:dyDescent="0.2">
      <c r="B28" s="6" t="s">
        <v>261</v>
      </c>
      <c r="C28" s="4" t="s">
        <v>262</v>
      </c>
      <c r="D28" s="31">
        <f>Defaults!$C$47</f>
        <v>1.2500000000000001E-2</v>
      </c>
      <c r="E28" s="4" t="s">
        <v>263</v>
      </c>
      <c r="F28" s="1" t="s">
        <v>264</v>
      </c>
    </row>
    <row r="29" spans="2:6" ht="17" x14ac:dyDescent="0.2">
      <c r="B29" s="6" t="s">
        <v>265</v>
      </c>
      <c r="C29" s="4" t="s">
        <v>266</v>
      </c>
      <c r="D29" s="3">
        <f>Defaults!$C$4</f>
        <v>28</v>
      </c>
      <c r="E29" s="4" t="s">
        <v>267</v>
      </c>
      <c r="F29" s="1" t="s">
        <v>268</v>
      </c>
    </row>
    <row r="30" spans="2:6" ht="45" customHeight="1" x14ac:dyDescent="0.2">
      <c r="B30" s="6" t="s">
        <v>269</v>
      </c>
      <c r="C30" s="4"/>
      <c r="D30" s="30" t="s">
        <v>325</v>
      </c>
      <c r="E30" s="4"/>
      <c r="F30" s="1" t="s">
        <v>271</v>
      </c>
    </row>
    <row r="31" spans="2:6" ht="30" customHeight="1" x14ac:dyDescent="0.2">
      <c r="B31" s="6" t="s">
        <v>272</v>
      </c>
      <c r="C31" s="4" t="s">
        <v>273</v>
      </c>
      <c r="D31" s="32">
        <v>0.01</v>
      </c>
      <c r="E31" s="4" t="s">
        <v>263</v>
      </c>
      <c r="F31" s="1" t="s">
        <v>274</v>
      </c>
    </row>
    <row r="32" spans="2:6" ht="51" x14ac:dyDescent="0.2">
      <c r="B32" s="6" t="s">
        <v>275</v>
      </c>
      <c r="C32" s="4" t="s">
        <v>276</v>
      </c>
      <c r="D32" s="32">
        <v>0.02</v>
      </c>
      <c r="E32" s="4" t="s">
        <v>263</v>
      </c>
      <c r="F32" s="1" t="s">
        <v>277</v>
      </c>
    </row>
    <row r="33" spans="2:6" ht="30" customHeight="1" x14ac:dyDescent="0.2">
      <c r="B33" s="6" t="s">
        <v>278</v>
      </c>
      <c r="C33" s="4" t="s">
        <v>279</v>
      </c>
      <c r="D33" s="32">
        <v>0.03</v>
      </c>
      <c r="E33" s="4" t="s">
        <v>263</v>
      </c>
      <c r="F33" s="1" t="s">
        <v>280</v>
      </c>
    </row>
    <row r="34" spans="2:6" ht="17" x14ac:dyDescent="0.2">
      <c r="B34" s="6" t="s">
        <v>281</v>
      </c>
      <c r="C34" s="4" t="s">
        <v>282</v>
      </c>
      <c r="D34" s="20">
        <f>SQRT($D$31^2+$D$32^2+$D$33^2)</f>
        <v>3.7416573867739417E-2</v>
      </c>
      <c r="E34" s="4" t="s">
        <v>263</v>
      </c>
      <c r="F34" s="1" t="s">
        <v>283</v>
      </c>
    </row>
    <row r="35" spans="2:6" ht="30" customHeight="1" x14ac:dyDescent="0.2">
      <c r="B35" s="6" t="s">
        <v>284</v>
      </c>
      <c r="C35" s="4" t="s">
        <v>282</v>
      </c>
      <c r="D35" s="32">
        <v>0</v>
      </c>
      <c r="E35" s="4" t="s">
        <v>263</v>
      </c>
      <c r="F35" s="1" t="s">
        <v>285</v>
      </c>
    </row>
    <row r="36" spans="2:6" ht="51" x14ac:dyDescent="0.2">
      <c r="B36" s="6" t="s">
        <v>286</v>
      </c>
      <c r="C36" s="4" t="s">
        <v>287</v>
      </c>
      <c r="D36" s="20">
        <f>IF($D$21="Track 1",Defaults!$C$7,IF($D$21="Track 2",IF($D$30="Yes",MAX(0,$D$34-Defaults!$C$9),Defaults!$C$8),MAX(0,$D$34-Defaults!$C$9)))</f>
        <v>2.7416573867739415E-2</v>
      </c>
      <c r="E36" s="4" t="s">
        <v>263</v>
      </c>
      <c r="F36" s="1" t="s">
        <v>288</v>
      </c>
    </row>
    <row r="37" spans="2:6" ht="34" x14ac:dyDescent="0.2">
      <c r="B37" s="6" t="s">
        <v>289</v>
      </c>
      <c r="C37" s="4" t="s">
        <v>290</v>
      </c>
      <c r="D37" s="20">
        <f>IF($D$21="Track 1",Defaults!$C$7,IF($D$21="Track 2",Defaults!$C$8,MAX(0,$D$35-Defaults!$C$10)))</f>
        <v>0.05</v>
      </c>
      <c r="E37" s="4" t="s">
        <v>263</v>
      </c>
      <c r="F37" s="1" t="s">
        <v>291</v>
      </c>
    </row>
    <row r="38" spans="2:6" ht="30" customHeight="1" x14ac:dyDescent="0.2">
      <c r="B38" s="6" t="s">
        <v>292</v>
      </c>
      <c r="C38" s="4" t="s">
        <v>293</v>
      </c>
      <c r="D38" s="33">
        <v>0</v>
      </c>
      <c r="E38" s="4" t="s">
        <v>263</v>
      </c>
      <c r="F38" s="1" t="s">
        <v>294</v>
      </c>
    </row>
    <row r="40" spans="2:6" ht="16" x14ac:dyDescent="0.2">
      <c r="B40" s="10" t="s">
        <v>295</v>
      </c>
      <c r="C40" s="11"/>
      <c r="D40" s="11"/>
      <c r="E40" s="11"/>
      <c r="F40" s="11"/>
    </row>
    <row r="41" spans="2:6" ht="16" x14ac:dyDescent="0.2">
      <c r="B41" s="12" t="s">
        <v>215</v>
      </c>
      <c r="C41" s="12" t="s">
        <v>216</v>
      </c>
      <c r="D41" s="12" t="s">
        <v>217</v>
      </c>
      <c r="E41" s="12" t="s">
        <v>218</v>
      </c>
      <c r="F41" s="12" t="s">
        <v>219</v>
      </c>
    </row>
    <row r="42" spans="2:6" ht="30" customHeight="1" x14ac:dyDescent="0.2">
      <c r="B42" s="6" t="s">
        <v>296</v>
      </c>
      <c r="C42" s="4"/>
      <c r="D42" s="34">
        <f>'Annex 7'!G20</f>
        <v>3.5000000000000003E-2</v>
      </c>
      <c r="E42" s="4" t="s">
        <v>263</v>
      </c>
      <c r="F42" s="1" t="s">
        <v>297</v>
      </c>
    </row>
    <row r="43" spans="2:6" ht="30" customHeight="1" x14ac:dyDescent="0.2">
      <c r="B43" s="6" t="s">
        <v>298</v>
      </c>
      <c r="C43" s="4"/>
      <c r="D43" s="34">
        <f>'Annex 7'!G21</f>
        <v>4.4999999999999998E-2</v>
      </c>
      <c r="E43" s="4" t="s">
        <v>263</v>
      </c>
      <c r="F43" s="1" t="s">
        <v>299</v>
      </c>
    </row>
    <row r="44" spans="2:6" ht="30" customHeight="1" x14ac:dyDescent="0.2">
      <c r="B44" s="6" t="s">
        <v>300</v>
      </c>
      <c r="C44" s="4" t="s">
        <v>301</v>
      </c>
      <c r="D44" s="34">
        <f>'Annex 7'!G23</f>
        <v>6.5000000000000002E-2</v>
      </c>
      <c r="E44" s="4" t="s">
        <v>263</v>
      </c>
      <c r="F44" s="1" t="s">
        <v>302</v>
      </c>
    </row>
    <row r="45" spans="2:6" ht="45" customHeight="1" x14ac:dyDescent="0.2">
      <c r="B45" s="6" t="s">
        <v>303</v>
      </c>
      <c r="C45" s="4"/>
      <c r="D45" s="30" t="s">
        <v>304</v>
      </c>
      <c r="E45" s="4"/>
      <c r="F45" s="1" t="s">
        <v>305</v>
      </c>
    </row>
    <row r="46" spans="2:6" ht="45" customHeight="1" x14ac:dyDescent="0.2">
      <c r="B46" s="35" t="s">
        <v>187</v>
      </c>
      <c r="C46" s="2" t="s">
        <v>301</v>
      </c>
      <c r="D46" s="24">
        <f>IF(LEFT($D$22,2)="A2",Defaults!$C$28,IF(LEFT($D$22,2)="A3",Defaults!$C$29,IF(OR($D$21="Track 1",AND($D$21="Track 2",LEFT($D$45,12)="Cancellation")),Defaults!$C$27,$D$44)))</f>
        <v>6.5000000000000002E-2</v>
      </c>
      <c r="E46" s="2" t="s">
        <v>263</v>
      </c>
      <c r="F46" s="36" t="s">
        <v>306</v>
      </c>
    </row>
    <row r="48" spans="2:6" ht="16" x14ac:dyDescent="0.2">
      <c r="B48" s="10" t="s">
        <v>307</v>
      </c>
      <c r="C48" s="11"/>
      <c r="D48" s="11"/>
      <c r="E48" s="11"/>
      <c r="F48" s="11"/>
    </row>
    <row r="49" spans="2:6" ht="16" x14ac:dyDescent="0.2">
      <c r="B49" s="12" t="s">
        <v>215</v>
      </c>
      <c r="C49" s="12" t="s">
        <v>216</v>
      </c>
      <c r="D49" s="12" t="s">
        <v>217</v>
      </c>
      <c r="E49" s="12" t="s">
        <v>218</v>
      </c>
      <c r="F49" s="12" t="s">
        <v>219</v>
      </c>
    </row>
    <row r="50" spans="2:6" ht="17" x14ac:dyDescent="0.2">
      <c r="B50" s="6" t="s">
        <v>308</v>
      </c>
      <c r="C50" s="4"/>
      <c r="D50" s="30" t="s">
        <v>580</v>
      </c>
      <c r="E50" s="4"/>
      <c r="F50" s="1" t="s">
        <v>310</v>
      </c>
    </row>
    <row r="51" spans="2:6" ht="30" customHeight="1" x14ac:dyDescent="0.2">
      <c r="B51" s="6" t="s">
        <v>311</v>
      </c>
      <c r="C51" s="4"/>
      <c r="D51" s="30" t="s">
        <v>581</v>
      </c>
      <c r="E51" s="4"/>
      <c r="F51" s="1" t="s">
        <v>313</v>
      </c>
    </row>
    <row r="52" spans="2:6" ht="34" x14ac:dyDescent="0.2">
      <c r="B52" s="6" t="s">
        <v>314</v>
      </c>
      <c r="C52" s="4" t="s">
        <v>315</v>
      </c>
      <c r="D52" s="37">
        <f>INDEX(Defaults!$D$52:$D$57,MATCH($D$50,Defaults!$B$52:$B$57,0))</f>
        <v>0.15</v>
      </c>
      <c r="E52" s="4" t="s">
        <v>316</v>
      </c>
      <c r="F52" s="1" t="s">
        <v>317</v>
      </c>
    </row>
    <row r="53" spans="2:6" ht="30" customHeight="1" x14ac:dyDescent="0.2">
      <c r="B53" s="6" t="s">
        <v>318</v>
      </c>
      <c r="C53" s="4" t="s">
        <v>319</v>
      </c>
      <c r="D53" s="37">
        <f>INDEX(Defaults!$E$52:$E$57,MATCH($D$50,Defaults!$B$52:$B$57,0))</f>
        <v>0.42</v>
      </c>
      <c r="E53" s="4" t="s">
        <v>320</v>
      </c>
      <c r="F53" s="1" t="s">
        <v>317</v>
      </c>
    </row>
    <row r="54" spans="2:6" ht="51" x14ac:dyDescent="0.2">
      <c r="B54" s="6" t="s">
        <v>321</v>
      </c>
      <c r="C54" s="4"/>
      <c r="D54" s="30" t="s">
        <v>322</v>
      </c>
      <c r="E54" s="4"/>
      <c r="F54" s="1" t="s">
        <v>323</v>
      </c>
    </row>
    <row r="55" spans="2:6" ht="34" x14ac:dyDescent="0.2">
      <c r="B55" s="6" t="s">
        <v>324</v>
      </c>
      <c r="C55" s="4"/>
      <c r="D55" s="30" t="s">
        <v>325</v>
      </c>
      <c r="E55" s="4"/>
      <c r="F55" s="1" t="s">
        <v>326</v>
      </c>
    </row>
    <row r="56" spans="2:6" ht="51" x14ac:dyDescent="0.2">
      <c r="B56" s="6" t="s">
        <v>327</v>
      </c>
      <c r="C56" s="4"/>
      <c r="D56" s="30" t="s">
        <v>328</v>
      </c>
      <c r="E56" s="4"/>
      <c r="F56" s="1" t="s">
        <v>329</v>
      </c>
    </row>
    <row r="57" spans="2:6" ht="30" customHeight="1" x14ac:dyDescent="0.2">
      <c r="B57" s="6" t="s">
        <v>330</v>
      </c>
      <c r="C57" s="4" t="s">
        <v>331</v>
      </c>
      <c r="D57" s="38">
        <v>0</v>
      </c>
      <c r="E57" s="4" t="s">
        <v>332</v>
      </c>
      <c r="F57" s="1" t="s">
        <v>333</v>
      </c>
    </row>
    <row r="58" spans="2:6" ht="45" customHeight="1" x14ac:dyDescent="0.2">
      <c r="B58" s="6" t="s">
        <v>334</v>
      </c>
      <c r="C58" s="4"/>
      <c r="D58" s="30" t="s">
        <v>335</v>
      </c>
      <c r="E58" s="4"/>
      <c r="F58" s="1" t="s">
        <v>336</v>
      </c>
    </row>
    <row r="59" spans="2:6" ht="30" customHeight="1" x14ac:dyDescent="0.2">
      <c r="B59" s="6" t="s">
        <v>337</v>
      </c>
      <c r="C59" s="4"/>
      <c r="D59" s="33">
        <v>0.7</v>
      </c>
      <c r="E59" s="4" t="s">
        <v>263</v>
      </c>
      <c r="F59" s="1" t="s">
        <v>338</v>
      </c>
    </row>
    <row r="60" spans="2:6" ht="34" x14ac:dyDescent="0.2">
      <c r="B60" s="6" t="s">
        <v>339</v>
      </c>
      <c r="C60" s="4"/>
      <c r="D60" s="4" t="str">
        <f>IF(LEFT($D$23,2)="F1",IF($D$59&lt;Defaults!$C$45,"Below the 70% floor — residue not eligible","OK"),"n/a")</f>
        <v>n/a</v>
      </c>
      <c r="E60" s="4"/>
      <c r="F60" s="1" t="s">
        <v>340</v>
      </c>
    </row>
    <row r="61" spans="2:6" ht="68" x14ac:dyDescent="0.2">
      <c r="B61" s="6" t="s">
        <v>341</v>
      </c>
      <c r="C61" s="4"/>
      <c r="D61" s="30" t="s">
        <v>342</v>
      </c>
      <c r="E61" s="4"/>
      <c r="F61" s="1" t="s">
        <v>343</v>
      </c>
    </row>
    <row r="62" spans="2:6" ht="34" x14ac:dyDescent="0.2">
      <c r="B62" s="6" t="s">
        <v>344</v>
      </c>
      <c r="C62" s="4" t="s">
        <v>345</v>
      </c>
      <c r="D62" s="39">
        <v>0</v>
      </c>
      <c r="E62" s="4" t="s">
        <v>346</v>
      </c>
      <c r="F62" s="1" t="s">
        <v>347</v>
      </c>
    </row>
    <row r="63" spans="2:6" ht="34" x14ac:dyDescent="0.2">
      <c r="B63" s="6" t="s">
        <v>348</v>
      </c>
      <c r="C63" s="4" t="s">
        <v>349</v>
      </c>
      <c r="D63" s="40">
        <v>0</v>
      </c>
      <c r="E63" s="4" t="s">
        <v>350</v>
      </c>
      <c r="F63" s="1" t="s">
        <v>347</v>
      </c>
    </row>
    <row r="64" spans="2:6" ht="34" x14ac:dyDescent="0.2">
      <c r="B64" s="6" t="s">
        <v>351</v>
      </c>
      <c r="C64" s="4" t="s">
        <v>352</v>
      </c>
      <c r="D64" s="40">
        <v>0</v>
      </c>
      <c r="E64" s="4" t="s">
        <v>350</v>
      </c>
      <c r="F64" s="1" t="s">
        <v>347</v>
      </c>
    </row>
    <row r="65" spans="2:6" ht="17" x14ac:dyDescent="0.2">
      <c r="B65" s="6" t="s">
        <v>353</v>
      </c>
      <c r="C65" s="4" t="s">
        <v>345</v>
      </c>
      <c r="D65" s="41">
        <f>IF(LEFT($D$61,8)="Measured",$D$62,IF(RIGHT($D$61,6)="stover",Defaults!$C$34,IF(RIGHT($D$61,8)="residues",Defaults!$C$37,Defaults!$C$40)))</f>
        <v>8.0000000000000002E-3</v>
      </c>
      <c r="E65" s="4" t="s">
        <v>346</v>
      </c>
      <c r="F65" s="1" t="s">
        <v>154</v>
      </c>
    </row>
    <row r="66" spans="2:6" ht="17" x14ac:dyDescent="0.2">
      <c r="B66" s="6" t="s">
        <v>354</v>
      </c>
      <c r="C66" s="4" t="s">
        <v>349</v>
      </c>
      <c r="D66" s="42">
        <f>IF(LEFT($D$61,8)="Measured",$D$63,IF(RIGHT($D$61,6)="stover",Defaults!$C$35,IF(RIGHT($D$61,8)="residues",Defaults!$C$38,Defaults!$C$41)))</f>
        <v>3.0000000000000001E-3</v>
      </c>
      <c r="E66" s="4" t="s">
        <v>350</v>
      </c>
      <c r="F66" s="1" t="s">
        <v>154</v>
      </c>
    </row>
    <row r="67" spans="2:6" ht="17" x14ac:dyDescent="0.2">
      <c r="B67" s="6" t="s">
        <v>355</v>
      </c>
      <c r="C67" s="4" t="s">
        <v>352</v>
      </c>
      <c r="D67" s="42">
        <f>IF(LEFT($D$61,8)="Measured",$D$64,IF(RIGHT($D$61,6)="stover",Defaults!$C$36,IF(RIGHT($D$61,8)="residues",Defaults!$C$39,Defaults!$C$42)))</f>
        <v>1.4999999999999999E-2</v>
      </c>
      <c r="E67" s="4" t="s">
        <v>350</v>
      </c>
      <c r="F67" s="1" t="s">
        <v>154</v>
      </c>
    </row>
    <row r="68" spans="2:6" ht="30" customHeight="1" x14ac:dyDescent="0.2">
      <c r="B68" s="6" t="s">
        <v>356</v>
      </c>
      <c r="C68" s="4"/>
      <c r="D68" s="33">
        <v>0</v>
      </c>
      <c r="E68" s="4" t="s">
        <v>263</v>
      </c>
      <c r="F68" s="1" t="s">
        <v>357</v>
      </c>
    </row>
    <row r="69" spans="2:6" ht="45" customHeight="1" x14ac:dyDescent="0.2">
      <c r="B69" s="6" t="s">
        <v>358</v>
      </c>
      <c r="C69" s="4"/>
      <c r="D69" s="30" t="s">
        <v>359</v>
      </c>
      <c r="E69" s="4"/>
      <c r="F69" s="1" t="s">
        <v>360</v>
      </c>
    </row>
    <row r="70" spans="2:6" ht="17" x14ac:dyDescent="0.2">
      <c r="B70" s="6" t="s">
        <v>361</v>
      </c>
      <c r="C70" s="4" t="s">
        <v>362</v>
      </c>
      <c r="D70" s="38">
        <v>0.45</v>
      </c>
      <c r="E70" s="4" t="s">
        <v>363</v>
      </c>
      <c r="F70" s="1" t="s">
        <v>137</v>
      </c>
    </row>
    <row r="72" spans="2:6" ht="16" x14ac:dyDescent="0.2">
      <c r="B72" s="10" t="s">
        <v>364</v>
      </c>
      <c r="C72" s="11"/>
      <c r="D72" s="11"/>
      <c r="E72" s="11"/>
      <c r="F72" s="11"/>
    </row>
    <row r="73" spans="2:6" ht="16" x14ac:dyDescent="0.2">
      <c r="B73" s="12" t="s">
        <v>215</v>
      </c>
      <c r="C73" s="12" t="s">
        <v>216</v>
      </c>
      <c r="D73" s="12" t="s">
        <v>217</v>
      </c>
      <c r="E73" s="12" t="s">
        <v>218</v>
      </c>
      <c r="F73" s="12" t="s">
        <v>219</v>
      </c>
    </row>
    <row r="74" spans="2:6" ht="45" customHeight="1" x14ac:dyDescent="0.2">
      <c r="B74" s="6" t="s">
        <v>365</v>
      </c>
      <c r="C74" s="4"/>
      <c r="D74" s="30" t="s">
        <v>572</v>
      </c>
      <c r="E74" s="4"/>
      <c r="F74" s="1" t="s">
        <v>367</v>
      </c>
    </row>
    <row r="75" spans="2:6" ht="30" customHeight="1" x14ac:dyDescent="0.2">
      <c r="B75" s="6" t="s">
        <v>368</v>
      </c>
      <c r="C75" s="4" t="s">
        <v>369</v>
      </c>
      <c r="D75" s="32">
        <v>0.1</v>
      </c>
      <c r="E75" s="4" t="s">
        <v>263</v>
      </c>
      <c r="F75" s="1" t="s">
        <v>370</v>
      </c>
    </row>
    <row r="76" spans="2:6" ht="17" x14ac:dyDescent="0.2">
      <c r="B76" s="6" t="s">
        <v>371</v>
      </c>
      <c r="C76" s="4" t="s">
        <v>369</v>
      </c>
      <c r="D76" s="20">
        <f>IF($D$74="Measured",$D$75,Defaults!$C$23)</f>
        <v>0.1</v>
      </c>
      <c r="E76" s="4" t="s">
        <v>263</v>
      </c>
      <c r="F76" s="1" t="s">
        <v>124</v>
      </c>
    </row>
    <row r="77" spans="2:6" ht="17" x14ac:dyDescent="0.2">
      <c r="B77" s="6" t="s">
        <v>372</v>
      </c>
      <c r="C77" s="4"/>
      <c r="D77" s="30" t="s">
        <v>573</v>
      </c>
      <c r="E77" s="4"/>
      <c r="F77" s="1" t="s">
        <v>374</v>
      </c>
    </row>
    <row r="78" spans="2:6" ht="30" customHeight="1" x14ac:dyDescent="0.2">
      <c r="B78" s="6" t="s">
        <v>375</v>
      </c>
      <c r="C78" s="4" t="s">
        <v>376</v>
      </c>
      <c r="D78" s="39">
        <v>0.74</v>
      </c>
      <c r="E78" s="4" t="s">
        <v>363</v>
      </c>
      <c r="F78" s="1" t="s">
        <v>377</v>
      </c>
    </row>
    <row r="79" spans="2:6" ht="34" x14ac:dyDescent="0.2">
      <c r="B79" s="6" t="s">
        <v>378</v>
      </c>
      <c r="C79" s="4" t="s">
        <v>376</v>
      </c>
      <c r="D79" s="37">
        <f>INDEX(Defaults!$C$52:$C$57,MATCH($D$50,Defaults!$B$52:$B$57,0))</f>
        <v>0.55000000000000004</v>
      </c>
      <c r="E79" s="4" t="s">
        <v>363</v>
      </c>
      <c r="F79" s="1" t="s">
        <v>379</v>
      </c>
    </row>
    <row r="80" spans="2:6" ht="17" x14ac:dyDescent="0.2">
      <c r="B80" s="6" t="s">
        <v>181</v>
      </c>
      <c r="C80" s="4" t="s">
        <v>376</v>
      </c>
      <c r="D80" s="16">
        <f>IF($D$77="Default (Table 21)",$D$79,$D$78)</f>
        <v>0.74</v>
      </c>
      <c r="E80" s="4" t="s">
        <v>363</v>
      </c>
      <c r="F80" s="1" t="s">
        <v>374</v>
      </c>
    </row>
    <row r="81" spans="2:6" ht="30" customHeight="1" x14ac:dyDescent="0.2">
      <c r="B81" s="6" t="s">
        <v>380</v>
      </c>
      <c r="C81" s="4" t="s">
        <v>381</v>
      </c>
      <c r="D81" s="38">
        <v>0.3</v>
      </c>
      <c r="E81" s="4" t="s">
        <v>382</v>
      </c>
      <c r="F81" s="1" t="s">
        <v>383</v>
      </c>
    </row>
    <row r="82" spans="2:6" ht="17" x14ac:dyDescent="0.2">
      <c r="B82" s="6" t="s">
        <v>384</v>
      </c>
      <c r="C82" s="4" t="s">
        <v>381</v>
      </c>
      <c r="D82" s="17">
        <f>IF(ISNUMBER($D$81),$D$81,Defaults!$C$17)</f>
        <v>0.3</v>
      </c>
      <c r="E82" s="4" t="s">
        <v>382</v>
      </c>
      <c r="F82" s="1" t="s">
        <v>130</v>
      </c>
    </row>
    <row r="83" spans="2:6" ht="17" x14ac:dyDescent="0.2">
      <c r="B83" s="6" t="s">
        <v>385</v>
      </c>
      <c r="C83" s="4"/>
      <c r="D83" s="4" t="str">
        <f>IF(LEFT($D$84,8)="Method 3","Not applicable (Method 3)",IF($D$82&gt;Defaults!$C$18,"Not creditable under Method 1 (H:Corg above 0.50)",IF(AND($D$21="Track 1",$D$82&gt;Defaults!$C$17),"Track 1 default-route limit 0.40 exceeded — test the batch","Eligible")))</f>
        <v>Eligible</v>
      </c>
      <c r="E83" s="4"/>
      <c r="F83" s="1" t="s">
        <v>240</v>
      </c>
    </row>
    <row r="84" spans="2:6" ht="17" x14ac:dyDescent="0.2">
      <c r="B84" s="6" t="s">
        <v>386</v>
      </c>
      <c r="C84" s="4"/>
      <c r="D84" s="30" t="s">
        <v>387</v>
      </c>
      <c r="E84" s="4"/>
      <c r="F84" s="1" t="s">
        <v>130</v>
      </c>
    </row>
    <row r="85" spans="2:6" ht="17" x14ac:dyDescent="0.2">
      <c r="B85" s="6" t="s">
        <v>388</v>
      </c>
      <c r="C85" s="4"/>
      <c r="D85" s="17">
        <f>ROUND(MIN(0.5,MAX(0.2,CEILING($D$82,0.05))),2)</f>
        <v>0.3</v>
      </c>
      <c r="E85" s="4" t="s">
        <v>382</v>
      </c>
      <c r="F85" s="1" t="s">
        <v>389</v>
      </c>
    </row>
    <row r="86" spans="2:6" ht="30" customHeight="1" x14ac:dyDescent="0.2">
      <c r="B86" s="6" t="s">
        <v>390</v>
      </c>
      <c r="C86" s="4" t="s">
        <v>391</v>
      </c>
      <c r="D86" s="41">
        <f>INDEX(Defaults!$C$121:$I$154,MATCH($D$27,Defaults!$B$121:$B$154,0),MATCH($D$85,Defaults!$C$120:$I$120,0))</f>
        <v>0.80700000000000005</v>
      </c>
      <c r="E86" s="4" t="s">
        <v>263</v>
      </c>
      <c r="F86" s="1" t="s">
        <v>392</v>
      </c>
    </row>
    <row r="87" spans="2:6" ht="30" customHeight="1" x14ac:dyDescent="0.2">
      <c r="B87" s="6" t="s">
        <v>393</v>
      </c>
      <c r="C87" s="4" t="s">
        <v>391</v>
      </c>
      <c r="D87" s="39">
        <v>0</v>
      </c>
      <c r="E87" s="4" t="s">
        <v>263</v>
      </c>
      <c r="F87" s="1" t="s">
        <v>394</v>
      </c>
    </row>
    <row r="88" spans="2:6" ht="17" x14ac:dyDescent="0.2">
      <c r="B88" s="35" t="s">
        <v>184</v>
      </c>
      <c r="C88" s="2" t="s">
        <v>391</v>
      </c>
      <c r="D88" s="43">
        <f>IF(LEFT($D$84,8)="Method 3",Defaults!$C$12,IF(LEFT($D$84,8)="Method 2",MIN(Defaults!$C$13,$D$87),IF($D$82&gt;Defaults!$C$18,0,$D$86)))</f>
        <v>0.80700000000000005</v>
      </c>
      <c r="E88" s="2" t="s">
        <v>263</v>
      </c>
      <c r="F88" s="36" t="s">
        <v>130</v>
      </c>
    </row>
    <row r="89" spans="2:6" ht="51" x14ac:dyDescent="0.2">
      <c r="B89" s="6" t="s">
        <v>395</v>
      </c>
      <c r="C89" s="4"/>
      <c r="D89" s="30" t="s">
        <v>582</v>
      </c>
      <c r="E89" s="4"/>
      <c r="F89" s="1" t="s">
        <v>397</v>
      </c>
    </row>
    <row r="90" spans="2:6" ht="30" customHeight="1" x14ac:dyDescent="0.2">
      <c r="B90" s="6" t="s">
        <v>398</v>
      </c>
      <c r="C90" s="4"/>
      <c r="D90" s="30" t="s">
        <v>325</v>
      </c>
      <c r="E90" s="4"/>
      <c r="F90" s="1" t="s">
        <v>399</v>
      </c>
    </row>
    <row r="91" spans="2:6" ht="51" x14ac:dyDescent="0.2">
      <c r="B91" s="6" t="s">
        <v>185</v>
      </c>
      <c r="C91" s="4" t="s">
        <v>400</v>
      </c>
      <c r="D91" s="19">
        <f>IF($D$90="Yes",0,INDEX(Defaults!$C$67:$C$70,MATCH($D$89,Defaults!$B$67:$B$70,0)))</f>
        <v>0</v>
      </c>
      <c r="E91" s="4" t="s">
        <v>263</v>
      </c>
      <c r="F91" s="1" t="s">
        <v>397</v>
      </c>
    </row>
    <row r="92" spans="2:6" ht="17" x14ac:dyDescent="0.2">
      <c r="B92" s="6" t="s">
        <v>401</v>
      </c>
      <c r="C92" s="4"/>
      <c r="D92" s="44">
        <v>8</v>
      </c>
      <c r="E92" s="4" t="s">
        <v>402</v>
      </c>
      <c r="F92" s="1" t="s">
        <v>403</v>
      </c>
    </row>
    <row r="93" spans="2:6" ht="17" x14ac:dyDescent="0.2">
      <c r="B93" s="6" t="s">
        <v>404</v>
      </c>
      <c r="C93" s="4"/>
      <c r="D93" s="4" t="str">
        <f>IF(LEFT($D$22,2)="A1",IF($D$92&gt;Defaults!$C$48,"Above the 50 t/ha cap","OK"),"n/a")</f>
        <v>OK</v>
      </c>
      <c r="E93" s="4"/>
      <c r="F93" s="1" t="s">
        <v>403</v>
      </c>
    </row>
    <row r="95" spans="2:6" ht="16" x14ac:dyDescent="0.2">
      <c r="B95" s="10" t="s">
        <v>405</v>
      </c>
      <c r="C95" s="11"/>
      <c r="D95" s="11"/>
      <c r="E95" s="11"/>
      <c r="F95" s="11"/>
    </row>
    <row r="96" spans="2:6" ht="16" x14ac:dyDescent="0.2">
      <c r="B96" s="12" t="s">
        <v>215</v>
      </c>
      <c r="C96" s="12" t="s">
        <v>216</v>
      </c>
      <c r="D96" s="12" t="s">
        <v>217</v>
      </c>
      <c r="E96" s="12" t="s">
        <v>218</v>
      </c>
      <c r="F96" s="12" t="s">
        <v>219</v>
      </c>
    </row>
    <row r="97" spans="2:19" ht="17" x14ac:dyDescent="0.2">
      <c r="B97" s="6" t="s">
        <v>406</v>
      </c>
      <c r="C97" s="4"/>
      <c r="D97" s="30" t="s">
        <v>583</v>
      </c>
      <c r="E97" s="4"/>
      <c r="F97" s="1" t="s">
        <v>142</v>
      </c>
    </row>
    <row r="98" spans="2:19" ht="34" x14ac:dyDescent="0.2">
      <c r="B98" s="6" t="s">
        <v>408</v>
      </c>
      <c r="C98" s="4" t="s">
        <v>409</v>
      </c>
      <c r="D98" s="42">
        <f>INDEX(Defaults!$C$61:$C$63,MATCH($D$54,Defaults!$B$61:$B$63,0))</f>
        <v>5.4999999999999997E-3</v>
      </c>
      <c r="E98" s="4" t="s">
        <v>410</v>
      </c>
      <c r="F98" s="1" t="s">
        <v>411</v>
      </c>
    </row>
    <row r="99" spans="2:19" ht="30" customHeight="1" x14ac:dyDescent="0.2">
      <c r="B99" s="6" t="s">
        <v>412</v>
      </c>
      <c r="C99" s="4" t="s">
        <v>409</v>
      </c>
      <c r="D99" s="40">
        <v>0</v>
      </c>
      <c r="E99" s="4" t="s">
        <v>410</v>
      </c>
      <c r="F99" s="1" t="s">
        <v>413</v>
      </c>
    </row>
    <row r="100" spans="2:19" ht="30" customHeight="1" x14ac:dyDescent="0.2">
      <c r="B100" s="6" t="s">
        <v>414</v>
      </c>
      <c r="C100" s="4" t="s">
        <v>409</v>
      </c>
      <c r="D100" s="45">
        <f>MAX($D$99,IF($D$98&gt;0,$D$98,Defaults!$C$26))</f>
        <v>5.4999999999999997E-3</v>
      </c>
      <c r="E100" s="4" t="s">
        <v>410</v>
      </c>
      <c r="F100" s="1" t="s">
        <v>413</v>
      </c>
    </row>
    <row r="101" spans="2:19" ht="30" customHeight="1" x14ac:dyDescent="0.2">
      <c r="B101" s="6" t="s">
        <v>415</v>
      </c>
      <c r="C101" s="4" t="s">
        <v>416</v>
      </c>
      <c r="D101" s="46">
        <v>2.6800000000000001E-3</v>
      </c>
      <c r="E101" s="4" t="s">
        <v>417</v>
      </c>
      <c r="F101" s="1" t="s">
        <v>418</v>
      </c>
    </row>
    <row r="102" spans="2:19" ht="30" customHeight="1" x14ac:dyDescent="0.2">
      <c r="B102" s="6" t="s">
        <v>419</v>
      </c>
      <c r="C102" s="4" t="s">
        <v>420</v>
      </c>
      <c r="D102" s="39">
        <v>0.72</v>
      </c>
      <c r="E102" s="4" t="s">
        <v>421</v>
      </c>
      <c r="F102" s="1" t="s">
        <v>422</v>
      </c>
    </row>
    <row r="103" spans="2:19" ht="45" customHeight="1" x14ac:dyDescent="0.2">
      <c r="B103" s="6" t="s">
        <v>423</v>
      </c>
      <c r="C103" s="4" t="s">
        <v>424</v>
      </c>
      <c r="D103" s="46">
        <v>1.2E-4</v>
      </c>
      <c r="E103" s="4" t="s">
        <v>425</v>
      </c>
      <c r="F103" s="1" t="s">
        <v>426</v>
      </c>
    </row>
    <row r="104" spans="2:19" ht="45" customHeight="1" x14ac:dyDescent="0.2">
      <c r="B104" s="6" t="s">
        <v>427</v>
      </c>
      <c r="C104" s="4"/>
      <c r="D104" s="30" t="s">
        <v>428</v>
      </c>
      <c r="E104" s="4"/>
      <c r="F104" s="1" t="s">
        <v>429</v>
      </c>
    </row>
    <row r="106" spans="2:19" ht="16" x14ac:dyDescent="0.2">
      <c r="B106" s="10" t="s">
        <v>430</v>
      </c>
      <c r="C106" s="11"/>
      <c r="D106" s="11"/>
      <c r="E106" s="11"/>
      <c r="F106" s="11"/>
    </row>
    <row r="107" spans="2:19" ht="16" x14ac:dyDescent="0.2">
      <c r="B107" s="12" t="s">
        <v>215</v>
      </c>
      <c r="C107" s="12" t="s">
        <v>216</v>
      </c>
      <c r="D107" s="12" t="s">
        <v>217</v>
      </c>
      <c r="E107" s="12" t="s">
        <v>218</v>
      </c>
      <c r="F107" s="12" t="s">
        <v>219</v>
      </c>
    </row>
    <row r="108" spans="2:19" ht="45" customHeight="1" x14ac:dyDescent="0.2">
      <c r="B108" s="6" t="s">
        <v>431</v>
      </c>
      <c r="C108" s="4" t="s">
        <v>432</v>
      </c>
      <c r="D108" s="47">
        <v>0</v>
      </c>
      <c r="E108" s="4" t="s">
        <v>433</v>
      </c>
      <c r="F108" s="1" t="s">
        <v>434</v>
      </c>
    </row>
    <row r="109" spans="2:19" ht="34" x14ac:dyDescent="0.2">
      <c r="B109" s="6" t="s">
        <v>435</v>
      </c>
      <c r="C109" s="4"/>
      <c r="D109" s="4" t="str">
        <f>IF($D$21="Track 3","Option B (inventory)",IF($D$108&gt;0,"Option B (inventory)","Option A (default per tonne)"))</f>
        <v>Option A (default per tonne)</v>
      </c>
      <c r="E109" s="4"/>
      <c r="F109" s="1" t="s">
        <v>436</v>
      </c>
    </row>
    <row r="110" spans="2:19" ht="30" customHeight="1" x14ac:dyDescent="0.2">
      <c r="B110" s="6" t="s">
        <v>437</v>
      </c>
      <c r="C110" s="4"/>
      <c r="D110" s="4" t="str">
        <f>IF((IF(AND($D$21="Track 1",LEFT($D$22,2)&lt;&gt;"A1"),"Modules A2 and A3 are not available under Track 1 (Annex 3, Table 19). ","")&amp;IF(AND($D$21&lt;&gt;"Track 3",OR(LEFT($D$23,2)="F5",LEFT($D$23,2)="F6")),"Modules F5 and F6 are restricted to Track 3 (Annex 1). ","")&amp;IF(AND($D$21&lt;&gt;"Track 1",LEFT($D$84,8)="Method 1",NOT(ISNUMBER($D$26))),"Tracks 2 and 3 enter the gridded-dataset soil temperature (Section 8.5). ","")&amp;IF(AND($D$21="Track 3",$D$77="Default (Table 21)"),"Track 3 measures organic carbon (Section 8.4). ","")&amp;IF(AND($D$21&lt;&gt;"Track 1",LEFT($D$74,7)="Default"),"The biochar moisture default is restricted to Track 1 (PARC 8). ","")&amp;IF(AND($D$21&lt;&gt;"Track 1",LEFT($D$51,5)="Yield"),"The yield default is restricted to Track 1 (PARC 3). ","")&amp;IF(AND(LEFT($D$23,2)="F1",LEFT($D$51,5)="Yield"),"Module F1 residue is weighed at collection (Section 8.3). ","")&amp;IF(AND($D$21="Track 3",LEFT($D$104,5)="Small"),"The small-hub default is available to Tracks 1 and 2 only (Section 9.3). ","")&amp;IF(AND($D$21&lt;&gt;"Track 1",LEFT($D$97,6)="Option"),"Methane Options A and B are Track 1 routes (Section 9.4). ","")&amp;IF(AND($D$21="Track 3",LEFT($D$97,7)="Track 2"),"Track 3 measures methane continuously (Section 9.4). ","")&amp;IF(AND(LEFT($D$97,8)="Option A",LEFT($D$54,5)="Moist"),"Feedstock above 24% moisture is not creditable; dry before charging (Section 9.4). ","")&amp;IF(AND(LEFT($D$22,2)="A1",LEFT($D$84,8)="Method 3"),"Method 3 applies to Modules A2 and A3 only (Section 8.5). ","")&amp;IF(AND(LEFT($D$22,2)&lt;&gt;"A1",LEFT($D$84,8)&lt;&gt;"Method 3"),"Modules A2 and A3 apply Method 3 (Section 8.5). ","")&amp;IF(AND($D$21="Track 1",LEFT($D$84,8)="Method 2"),"Method 2 is available to Tracks 2 and 3 only (Section 8.5). ",""))="","OK",TRIM(IF(AND($D$21="Track 1",LEFT($D$22,2)&lt;&gt;"A1"),"Modules A2 and A3 are not available under Track 1 (Annex 3, Table 19). ","")&amp;IF(AND($D$21&lt;&gt;"Track 3",OR(LEFT($D$23,2)="F5",LEFT($D$23,2)="F6")),"Modules F5 and F6 are restricted to Track 3 (Annex 1). ","")&amp;IF(AND($D$21&lt;&gt;"Track 1",LEFT($D$84,8)="Method 1",NOT(ISNUMBER($D$26))),"Tracks 2 and 3 enter the gridded-dataset soil temperature (Section 8.5). ","")&amp;IF(AND($D$21="Track 3",$D$77="Default (Table 21)"),"Track 3 measures organic carbon (Section 8.4). ","")&amp;IF(AND($D$21&lt;&gt;"Track 1",LEFT($D$74,7)="Default"),"The biochar moisture default is restricted to Track 1 (PARC 8). ","")&amp;IF(AND($D$21&lt;&gt;"Track 1",LEFT($D$51,5)="Yield"),"The yield default is restricted to Track 1 (PARC 3). ","")&amp;IF(AND(LEFT($D$23,2)="F1",LEFT($D$51,5)="Yield"),"Module F1 residue is weighed at collection (Section 8.3). ","")&amp;IF(AND($D$21="Track 3",LEFT($D$104,5)="Small"),"The small-hub default is available to Tracks 1 and 2 only (Section 9.3). ","")&amp;IF(AND($D$21&lt;&gt;"Track 1",LEFT($D$97,6)="Option"),"Methane Options A and B are Track 1 routes (Section 9.4). ","")&amp;IF(AND($D$21="Track 3",LEFT($D$97,7)="Track 2"),"Track 3 measures methane continuously (Section 9.4). ","")&amp;IF(AND(LEFT($D$97,8)="Option A",LEFT($D$54,5)="Moist"),"Feedstock above 24% moisture is not creditable; dry before charging (Section 9.4). ","")&amp;IF(AND(LEFT($D$22,2)="A1",LEFT($D$84,8)="Method 3"),"Method 3 applies to Modules A2 and A3 only (Section 8.5). ","")&amp;IF(AND(LEFT($D$22,2)&lt;&gt;"A1",LEFT($D$84,8)&lt;&gt;"Method 3"),"Modules A2 and A3 apply Method 3 (Section 8.5). ","")&amp;IF(AND($D$21="Track 1",LEFT($D$84,8)="Method 2"),"Method 2 is available to Tracks 2 and 3 only (Section 8.5). ","")))</f>
        <v>OK</v>
      </c>
      <c r="E110" s="4"/>
      <c r="F110" s="1" t="s">
        <v>438</v>
      </c>
    </row>
    <row r="112" spans="2:19" ht="16" x14ac:dyDescent="0.2">
      <c r="B112" s="10" t="s">
        <v>439</v>
      </c>
      <c r="C112" s="11"/>
      <c r="D112" s="11"/>
      <c r="E112" s="11"/>
      <c r="F112" s="11"/>
      <c r="G112" s="11"/>
      <c r="H112" s="11"/>
      <c r="I112" s="11"/>
      <c r="J112" s="11"/>
      <c r="K112" s="11"/>
      <c r="L112" s="11"/>
      <c r="M112" s="11"/>
      <c r="N112" s="11"/>
      <c r="R112" s="11"/>
      <c r="S112" s="11"/>
    </row>
    <row r="113" spans="2:19" ht="16" x14ac:dyDescent="0.2">
      <c r="B113" s="12" t="s">
        <v>440</v>
      </c>
      <c r="C113" s="12" t="s">
        <v>216</v>
      </c>
      <c r="D113" s="48" t="s">
        <v>441</v>
      </c>
      <c r="E113" s="48" t="s">
        <v>442</v>
      </c>
      <c r="F113" s="48" t="s">
        <v>443</v>
      </c>
      <c r="G113" s="48" t="s">
        <v>444</v>
      </c>
      <c r="H113" s="48" t="s">
        <v>445</v>
      </c>
      <c r="I113" s="48" t="s">
        <v>446</v>
      </c>
      <c r="J113" s="48" t="s">
        <v>447</v>
      </c>
      <c r="K113" s="48" t="s">
        <v>448</v>
      </c>
      <c r="L113" s="48" t="s">
        <v>449</v>
      </c>
      <c r="M113" s="48" t="s">
        <v>450</v>
      </c>
      <c r="N113" s="48" t="s">
        <v>451</v>
      </c>
      <c r="R113" s="12" t="s">
        <v>218</v>
      </c>
      <c r="S113" s="12" t="s">
        <v>452</v>
      </c>
    </row>
    <row r="114" spans="2:19" ht="16" x14ac:dyDescent="0.2">
      <c r="B114" s="49" t="s">
        <v>453</v>
      </c>
    </row>
    <row r="115" spans="2:19" ht="17" x14ac:dyDescent="0.2">
      <c r="B115" s="6" t="s">
        <v>454</v>
      </c>
      <c r="C115" s="4"/>
      <c r="D115" s="50">
        <v>1</v>
      </c>
      <c r="E115" s="50">
        <v>1</v>
      </c>
      <c r="F115" s="50">
        <v>1</v>
      </c>
      <c r="G115" s="50">
        <v>1</v>
      </c>
      <c r="H115" s="50">
        <v>1</v>
      </c>
      <c r="I115" s="50">
        <v>1</v>
      </c>
      <c r="J115" s="50">
        <v>1</v>
      </c>
      <c r="K115" s="50">
        <v>1</v>
      </c>
      <c r="L115" s="50">
        <v>1</v>
      </c>
      <c r="M115" s="50">
        <v>1</v>
      </c>
      <c r="N115" s="51">
        <f>SUM(D115:M115)</f>
        <v>10</v>
      </c>
      <c r="R115" s="4"/>
      <c r="S115" s="9"/>
    </row>
    <row r="116" spans="2:19" ht="17" x14ac:dyDescent="0.2">
      <c r="B116" s="6" t="s">
        <v>455</v>
      </c>
      <c r="C116" s="4" t="s">
        <v>456</v>
      </c>
      <c r="D116" s="47">
        <v>1330</v>
      </c>
      <c r="E116" s="47">
        <v>1900</v>
      </c>
      <c r="F116" s="47">
        <v>1900</v>
      </c>
      <c r="G116" s="47">
        <v>1900</v>
      </c>
      <c r="H116" s="47">
        <v>1900</v>
      </c>
      <c r="I116" s="47">
        <v>1900</v>
      </c>
      <c r="J116" s="47">
        <v>1900</v>
      </c>
      <c r="K116" s="47">
        <v>1900</v>
      </c>
      <c r="L116" s="47">
        <v>1900</v>
      </c>
      <c r="M116" s="47">
        <v>1900</v>
      </c>
      <c r="N116" s="52">
        <f>SUM(D116:M116)</f>
        <v>18430</v>
      </c>
      <c r="R116" s="4" t="s">
        <v>457</v>
      </c>
      <c r="S116" s="9" t="s">
        <v>458</v>
      </c>
    </row>
    <row r="117" spans="2:19" ht="17" x14ac:dyDescent="0.2">
      <c r="B117" s="6" t="s">
        <v>459</v>
      </c>
      <c r="C117" s="4" t="s">
        <v>460</v>
      </c>
      <c r="D117" s="47">
        <v>4275</v>
      </c>
      <c r="E117" s="47">
        <v>6107</v>
      </c>
      <c r="F117" s="47">
        <v>6107</v>
      </c>
      <c r="G117" s="47">
        <v>6107</v>
      </c>
      <c r="H117" s="47">
        <v>6107</v>
      </c>
      <c r="I117" s="47">
        <v>6107</v>
      </c>
      <c r="J117" s="47">
        <v>6107</v>
      </c>
      <c r="K117" s="47">
        <v>6107</v>
      </c>
      <c r="L117" s="47">
        <v>6107</v>
      </c>
      <c r="M117" s="47">
        <v>6107</v>
      </c>
      <c r="N117" s="52">
        <f>SUM(D117:M117)</f>
        <v>59238</v>
      </c>
      <c r="R117" s="4" t="s">
        <v>226</v>
      </c>
      <c r="S117" s="9" t="s">
        <v>458</v>
      </c>
    </row>
    <row r="118" spans="2:19" ht="30" customHeight="1" x14ac:dyDescent="0.2">
      <c r="B118" s="6" t="s">
        <v>461</v>
      </c>
      <c r="C118" s="4" t="s">
        <v>462</v>
      </c>
      <c r="D118" s="44">
        <v>0</v>
      </c>
      <c r="E118" s="44">
        <v>0</v>
      </c>
      <c r="F118" s="44">
        <v>0</v>
      </c>
      <c r="G118" s="44">
        <v>0</v>
      </c>
      <c r="H118" s="44">
        <v>0</v>
      </c>
      <c r="I118" s="44">
        <v>0</v>
      </c>
      <c r="J118" s="44">
        <v>0</v>
      </c>
      <c r="K118" s="44">
        <v>0</v>
      </c>
      <c r="L118" s="44">
        <v>0</v>
      </c>
      <c r="M118" s="44">
        <v>0</v>
      </c>
      <c r="R118" s="4" t="s">
        <v>463</v>
      </c>
      <c r="S118" s="9" t="s">
        <v>464</v>
      </c>
    </row>
    <row r="119" spans="2:19" ht="17" x14ac:dyDescent="0.2">
      <c r="B119" s="6" t="s">
        <v>465</v>
      </c>
      <c r="C119" s="4" t="s">
        <v>466</v>
      </c>
      <c r="D119" s="47">
        <v>0</v>
      </c>
      <c r="E119" s="47">
        <v>0</v>
      </c>
      <c r="F119" s="47">
        <v>0</v>
      </c>
      <c r="G119" s="47">
        <v>0</v>
      </c>
      <c r="H119" s="47">
        <v>0</v>
      </c>
      <c r="I119" s="47">
        <v>0</v>
      </c>
      <c r="J119" s="47">
        <v>0</v>
      </c>
      <c r="K119" s="47">
        <v>0</v>
      </c>
      <c r="L119" s="47">
        <v>0</v>
      </c>
      <c r="M119" s="47">
        <v>0</v>
      </c>
      <c r="N119" s="52">
        <f t="shared" ref="N119:N130" si="0">SUM(D119:M119)</f>
        <v>0</v>
      </c>
      <c r="R119" s="4" t="s">
        <v>221</v>
      </c>
      <c r="S119" s="9" t="s">
        <v>137</v>
      </c>
    </row>
    <row r="120" spans="2:19" ht="30" customHeight="1" x14ac:dyDescent="0.2">
      <c r="B120" s="6" t="s">
        <v>467</v>
      </c>
      <c r="C120" s="4" t="s">
        <v>468</v>
      </c>
      <c r="D120" s="53">
        <v>40</v>
      </c>
      <c r="E120" s="53">
        <v>30</v>
      </c>
      <c r="F120" s="53">
        <v>25</v>
      </c>
      <c r="G120" s="53">
        <v>20</v>
      </c>
      <c r="H120" s="53">
        <v>20</v>
      </c>
      <c r="I120" s="53">
        <v>20</v>
      </c>
      <c r="J120" s="53">
        <v>20</v>
      </c>
      <c r="K120" s="53">
        <v>20</v>
      </c>
      <c r="L120" s="53">
        <v>20</v>
      </c>
      <c r="M120" s="53">
        <v>20</v>
      </c>
      <c r="N120" s="54">
        <f t="shared" si="0"/>
        <v>235</v>
      </c>
      <c r="R120" s="4" t="s">
        <v>226</v>
      </c>
      <c r="S120" s="9" t="s">
        <v>469</v>
      </c>
    </row>
    <row r="121" spans="2:19" ht="17" x14ac:dyDescent="0.2">
      <c r="B121" s="6" t="s">
        <v>470</v>
      </c>
      <c r="C121" s="4" t="s">
        <v>471</v>
      </c>
      <c r="D121" s="38">
        <v>0</v>
      </c>
      <c r="E121" s="38">
        <v>0</v>
      </c>
      <c r="F121" s="38">
        <v>0</v>
      </c>
      <c r="G121" s="38">
        <v>0</v>
      </c>
      <c r="H121" s="38">
        <v>0</v>
      </c>
      <c r="I121" s="38">
        <v>0</v>
      </c>
      <c r="J121" s="38">
        <v>0</v>
      </c>
      <c r="K121" s="38">
        <v>0</v>
      </c>
      <c r="L121" s="38">
        <v>0</v>
      </c>
      <c r="M121" s="38">
        <v>0</v>
      </c>
      <c r="N121" s="55">
        <f t="shared" si="0"/>
        <v>0</v>
      </c>
      <c r="R121" s="4" t="s">
        <v>472</v>
      </c>
      <c r="S121" s="9" t="s">
        <v>473</v>
      </c>
    </row>
    <row r="122" spans="2:19" ht="17" x14ac:dyDescent="0.2">
      <c r="B122" s="6" t="s">
        <v>474</v>
      </c>
      <c r="C122" s="4" t="s">
        <v>475</v>
      </c>
      <c r="D122" s="47">
        <v>0</v>
      </c>
      <c r="E122" s="47">
        <v>0</v>
      </c>
      <c r="F122" s="47">
        <v>0</v>
      </c>
      <c r="G122" s="47">
        <v>0</v>
      </c>
      <c r="H122" s="47">
        <v>0</v>
      </c>
      <c r="I122" s="47">
        <v>0</v>
      </c>
      <c r="J122" s="47">
        <v>0</v>
      </c>
      <c r="K122" s="47">
        <v>0</v>
      </c>
      <c r="L122" s="47">
        <v>0</v>
      </c>
      <c r="M122" s="47">
        <v>0</v>
      </c>
      <c r="N122" s="52">
        <f t="shared" si="0"/>
        <v>0</v>
      </c>
      <c r="R122" s="4" t="s">
        <v>476</v>
      </c>
      <c r="S122" s="9" t="s">
        <v>477</v>
      </c>
    </row>
    <row r="123" spans="2:19" ht="17" x14ac:dyDescent="0.2">
      <c r="B123" s="6" t="s">
        <v>478</v>
      </c>
      <c r="C123" s="4" t="s">
        <v>479</v>
      </c>
      <c r="D123" s="53">
        <v>12.8</v>
      </c>
      <c r="E123" s="53">
        <v>18.3</v>
      </c>
      <c r="F123" s="53">
        <v>18.3</v>
      </c>
      <c r="G123" s="53">
        <v>18.3</v>
      </c>
      <c r="H123" s="53">
        <v>18.3</v>
      </c>
      <c r="I123" s="53">
        <v>18.3</v>
      </c>
      <c r="J123" s="53">
        <v>18.3</v>
      </c>
      <c r="K123" s="53">
        <v>18.3</v>
      </c>
      <c r="L123" s="53">
        <v>18.3</v>
      </c>
      <c r="M123" s="53">
        <v>18.3</v>
      </c>
      <c r="N123" s="54">
        <f t="shared" si="0"/>
        <v>177.50000000000003</v>
      </c>
      <c r="R123" s="4" t="s">
        <v>480</v>
      </c>
      <c r="S123" s="9" t="s">
        <v>477</v>
      </c>
    </row>
    <row r="124" spans="2:19" ht="17" x14ac:dyDescent="0.2">
      <c r="B124" s="6" t="s">
        <v>481</v>
      </c>
      <c r="C124" s="4" t="s">
        <v>482</v>
      </c>
      <c r="D124" s="47">
        <v>0</v>
      </c>
      <c r="E124" s="47">
        <v>0</v>
      </c>
      <c r="F124" s="47">
        <v>0</v>
      </c>
      <c r="G124" s="47">
        <v>0</v>
      </c>
      <c r="H124" s="47">
        <v>0</v>
      </c>
      <c r="I124" s="47">
        <v>0</v>
      </c>
      <c r="J124" s="47">
        <v>0</v>
      </c>
      <c r="K124" s="47">
        <v>0</v>
      </c>
      <c r="L124" s="47">
        <v>0</v>
      </c>
      <c r="M124" s="47">
        <v>0</v>
      </c>
      <c r="N124" s="52">
        <f t="shared" si="0"/>
        <v>0</v>
      </c>
      <c r="R124" s="4" t="s">
        <v>221</v>
      </c>
      <c r="S124" s="9" t="s">
        <v>483</v>
      </c>
    </row>
    <row r="125" spans="2:19" ht="17" x14ac:dyDescent="0.2">
      <c r="B125" s="6" t="s">
        <v>484</v>
      </c>
      <c r="C125" s="4" t="s">
        <v>485</v>
      </c>
      <c r="D125" s="47">
        <v>2660</v>
      </c>
      <c r="E125" s="47">
        <v>3800</v>
      </c>
      <c r="F125" s="47">
        <v>3800</v>
      </c>
      <c r="G125" s="47">
        <v>3800</v>
      </c>
      <c r="H125" s="47">
        <v>3800</v>
      </c>
      <c r="I125" s="47">
        <v>3800</v>
      </c>
      <c r="J125" s="47">
        <v>3800</v>
      </c>
      <c r="K125" s="47">
        <v>3800</v>
      </c>
      <c r="L125" s="47">
        <v>3800</v>
      </c>
      <c r="M125" s="47">
        <v>3800</v>
      </c>
      <c r="N125" s="52">
        <f t="shared" si="0"/>
        <v>36860</v>
      </c>
      <c r="R125" s="4" t="s">
        <v>476</v>
      </c>
      <c r="S125" s="9" t="s">
        <v>486</v>
      </c>
    </row>
    <row r="126" spans="2:19" ht="17" x14ac:dyDescent="0.2">
      <c r="B126" s="6" t="s">
        <v>487</v>
      </c>
      <c r="C126" s="4" t="s">
        <v>488</v>
      </c>
      <c r="D126" s="53">
        <v>79.8</v>
      </c>
      <c r="E126" s="53">
        <v>114</v>
      </c>
      <c r="F126" s="53">
        <v>114</v>
      </c>
      <c r="G126" s="53">
        <v>114</v>
      </c>
      <c r="H126" s="53">
        <v>114</v>
      </c>
      <c r="I126" s="53">
        <v>114</v>
      </c>
      <c r="J126" s="53">
        <v>114</v>
      </c>
      <c r="K126" s="53">
        <v>114</v>
      </c>
      <c r="L126" s="53">
        <v>114</v>
      </c>
      <c r="M126" s="53">
        <v>114</v>
      </c>
      <c r="N126" s="54">
        <f t="shared" si="0"/>
        <v>1105.8</v>
      </c>
      <c r="R126" s="4" t="s">
        <v>480</v>
      </c>
      <c r="S126" s="9" t="s">
        <v>486</v>
      </c>
    </row>
    <row r="127" spans="2:19" ht="17" x14ac:dyDescent="0.2">
      <c r="B127" s="6" t="s">
        <v>489</v>
      </c>
      <c r="C127" s="4" t="s">
        <v>490</v>
      </c>
      <c r="D127" s="47">
        <v>71820</v>
      </c>
      <c r="E127" s="47">
        <v>102600</v>
      </c>
      <c r="F127" s="47">
        <v>102600</v>
      </c>
      <c r="G127" s="47">
        <v>102600</v>
      </c>
      <c r="H127" s="47">
        <v>102600</v>
      </c>
      <c r="I127" s="47">
        <v>102600</v>
      </c>
      <c r="J127" s="47">
        <v>102600</v>
      </c>
      <c r="K127" s="47">
        <v>102600</v>
      </c>
      <c r="L127" s="47">
        <v>102600</v>
      </c>
      <c r="M127" s="47">
        <v>102600</v>
      </c>
      <c r="N127" s="52">
        <f t="shared" si="0"/>
        <v>995220</v>
      </c>
      <c r="R127" s="4" t="s">
        <v>491</v>
      </c>
      <c r="S127" s="9" t="s">
        <v>492</v>
      </c>
    </row>
    <row r="128" spans="2:19" ht="17" x14ac:dyDescent="0.2">
      <c r="B128" s="6" t="s">
        <v>493</v>
      </c>
      <c r="C128" s="4" t="s">
        <v>494</v>
      </c>
      <c r="D128" s="47">
        <v>1436</v>
      </c>
      <c r="E128" s="47">
        <v>2052</v>
      </c>
      <c r="F128" s="47">
        <v>2052</v>
      </c>
      <c r="G128" s="47">
        <v>2052</v>
      </c>
      <c r="H128" s="47">
        <v>2052</v>
      </c>
      <c r="I128" s="47">
        <v>2052</v>
      </c>
      <c r="J128" s="47">
        <v>2052</v>
      </c>
      <c r="K128" s="47">
        <v>2052</v>
      </c>
      <c r="L128" s="47">
        <v>2052</v>
      </c>
      <c r="M128" s="47">
        <v>2052</v>
      </c>
      <c r="N128" s="52">
        <f t="shared" si="0"/>
        <v>19904</v>
      </c>
      <c r="R128" s="4" t="s">
        <v>476</v>
      </c>
      <c r="S128" s="9" t="s">
        <v>495</v>
      </c>
    </row>
    <row r="129" spans="2:19" ht="30" customHeight="1" x14ac:dyDescent="0.2">
      <c r="B129" s="6" t="s">
        <v>496</v>
      </c>
      <c r="C129" s="4" t="s">
        <v>497</v>
      </c>
      <c r="D129" s="47">
        <v>0</v>
      </c>
      <c r="E129" s="47">
        <v>0</v>
      </c>
      <c r="F129" s="47">
        <v>0</v>
      </c>
      <c r="G129" s="47">
        <v>0</v>
      </c>
      <c r="H129" s="47">
        <v>0</v>
      </c>
      <c r="I129" s="47">
        <v>0</v>
      </c>
      <c r="J129" s="47">
        <v>0</v>
      </c>
      <c r="K129" s="47">
        <v>0</v>
      </c>
      <c r="L129" s="47">
        <v>0</v>
      </c>
      <c r="M129" s="47">
        <v>0</v>
      </c>
      <c r="N129" s="52">
        <f t="shared" si="0"/>
        <v>0</v>
      </c>
      <c r="R129" s="4" t="s">
        <v>221</v>
      </c>
      <c r="S129" s="9" t="s">
        <v>498</v>
      </c>
    </row>
    <row r="130" spans="2:19" ht="30" customHeight="1" x14ac:dyDescent="0.2">
      <c r="B130" s="6" t="s">
        <v>499</v>
      </c>
      <c r="C130" s="4" t="s">
        <v>500</v>
      </c>
      <c r="D130" s="47">
        <v>0</v>
      </c>
      <c r="E130" s="47">
        <v>0</v>
      </c>
      <c r="F130" s="47">
        <v>0</v>
      </c>
      <c r="G130" s="47">
        <v>0</v>
      </c>
      <c r="H130" s="47">
        <v>0</v>
      </c>
      <c r="I130" s="47">
        <v>0</v>
      </c>
      <c r="J130" s="47">
        <v>0</v>
      </c>
      <c r="K130" s="47">
        <v>0</v>
      </c>
      <c r="L130" s="47">
        <v>0</v>
      </c>
      <c r="M130" s="47">
        <v>0</v>
      </c>
      <c r="N130" s="52">
        <f t="shared" si="0"/>
        <v>0</v>
      </c>
      <c r="R130" s="4" t="s">
        <v>226</v>
      </c>
      <c r="S130" s="9" t="s">
        <v>501</v>
      </c>
    </row>
    <row r="131" spans="2:19" ht="17" x14ac:dyDescent="0.2">
      <c r="B131" s="6" t="s">
        <v>502</v>
      </c>
      <c r="C131" s="4" t="s">
        <v>369</v>
      </c>
      <c r="D131" s="32"/>
      <c r="E131" s="32"/>
      <c r="F131" s="32"/>
      <c r="G131" s="32"/>
      <c r="H131" s="32"/>
      <c r="I131" s="32"/>
      <c r="J131" s="32"/>
      <c r="K131" s="32"/>
      <c r="L131" s="32"/>
      <c r="M131" s="32"/>
      <c r="R131" s="4" t="s">
        <v>263</v>
      </c>
      <c r="S131" s="9" t="s">
        <v>124</v>
      </c>
    </row>
    <row r="132" spans="2:19" ht="17" x14ac:dyDescent="0.2">
      <c r="B132" s="6" t="s">
        <v>503</v>
      </c>
      <c r="C132" s="4" t="s">
        <v>262</v>
      </c>
      <c r="D132" s="56">
        <f t="shared" ref="D132:M132" si="1">$D$28</f>
        <v>1.2500000000000001E-2</v>
      </c>
      <c r="E132" s="56">
        <f t="shared" si="1"/>
        <v>1.2500000000000001E-2</v>
      </c>
      <c r="F132" s="56">
        <f t="shared" si="1"/>
        <v>1.2500000000000001E-2</v>
      </c>
      <c r="G132" s="56">
        <f t="shared" si="1"/>
        <v>1.2500000000000001E-2</v>
      </c>
      <c r="H132" s="56">
        <f t="shared" si="1"/>
        <v>1.2500000000000001E-2</v>
      </c>
      <c r="I132" s="56">
        <f t="shared" si="1"/>
        <v>1.2500000000000001E-2</v>
      </c>
      <c r="J132" s="56">
        <f t="shared" si="1"/>
        <v>1.2500000000000001E-2</v>
      </c>
      <c r="K132" s="56">
        <f t="shared" si="1"/>
        <v>1.2500000000000001E-2</v>
      </c>
      <c r="L132" s="56">
        <f t="shared" si="1"/>
        <v>1.2500000000000001E-2</v>
      </c>
      <c r="M132" s="56">
        <f t="shared" si="1"/>
        <v>1.2500000000000001E-2</v>
      </c>
      <c r="R132" s="4" t="s">
        <v>263</v>
      </c>
      <c r="S132" s="9" t="s">
        <v>234</v>
      </c>
    </row>
    <row r="134" spans="2:19" ht="16" x14ac:dyDescent="0.2">
      <c r="B134" s="49" t="s">
        <v>504</v>
      </c>
    </row>
    <row r="135" spans="2:19" ht="17" x14ac:dyDescent="0.2">
      <c r="B135" s="6" t="s">
        <v>505</v>
      </c>
      <c r="C135" s="4" t="s">
        <v>369</v>
      </c>
      <c r="D135" s="20">
        <f t="shared" ref="D135:M135" si="2">IF(ISNUMBER(D$131),D$131,$D$76)</f>
        <v>0.1</v>
      </c>
      <c r="E135" s="20">
        <f t="shared" si="2"/>
        <v>0.1</v>
      </c>
      <c r="F135" s="20">
        <f t="shared" si="2"/>
        <v>0.1</v>
      </c>
      <c r="G135" s="20">
        <f t="shared" si="2"/>
        <v>0.1</v>
      </c>
      <c r="H135" s="20">
        <f t="shared" si="2"/>
        <v>0.1</v>
      </c>
      <c r="I135" s="20">
        <f t="shared" si="2"/>
        <v>0.1</v>
      </c>
      <c r="J135" s="20">
        <f t="shared" si="2"/>
        <v>0.1</v>
      </c>
      <c r="K135" s="20">
        <f t="shared" si="2"/>
        <v>0.1</v>
      </c>
      <c r="L135" s="20">
        <f t="shared" si="2"/>
        <v>0.1</v>
      </c>
      <c r="M135" s="20">
        <f t="shared" si="2"/>
        <v>0.1</v>
      </c>
      <c r="R135" s="4" t="s">
        <v>263</v>
      </c>
      <c r="S135" s="9" t="s">
        <v>124</v>
      </c>
    </row>
    <row r="136" spans="2:19" ht="17" x14ac:dyDescent="0.2">
      <c r="B136" s="6" t="s">
        <v>506</v>
      </c>
      <c r="C136" s="4" t="s">
        <v>507</v>
      </c>
      <c r="D136" s="21">
        <f t="shared" ref="D136:M136" si="3">D$115*D$116*(1-D$135)</f>
        <v>1197</v>
      </c>
      <c r="E136" s="21">
        <f t="shared" si="3"/>
        <v>1710</v>
      </c>
      <c r="F136" s="21">
        <f t="shared" si="3"/>
        <v>1710</v>
      </c>
      <c r="G136" s="21">
        <f t="shared" si="3"/>
        <v>1710</v>
      </c>
      <c r="H136" s="21">
        <f t="shared" si="3"/>
        <v>1710</v>
      </c>
      <c r="I136" s="21">
        <f t="shared" si="3"/>
        <v>1710</v>
      </c>
      <c r="J136" s="21">
        <f t="shared" si="3"/>
        <v>1710</v>
      </c>
      <c r="K136" s="21">
        <f t="shared" si="3"/>
        <v>1710</v>
      </c>
      <c r="L136" s="21">
        <f t="shared" si="3"/>
        <v>1710</v>
      </c>
      <c r="M136" s="21">
        <f t="shared" si="3"/>
        <v>1710</v>
      </c>
      <c r="N136" s="52">
        <f>SUM(D136:M136)</f>
        <v>16587</v>
      </c>
      <c r="R136" s="4" t="s">
        <v>226</v>
      </c>
      <c r="S136" s="9" t="s">
        <v>124</v>
      </c>
    </row>
    <row r="137" spans="2:19" ht="17" x14ac:dyDescent="0.2">
      <c r="B137" s="6" t="s">
        <v>508</v>
      </c>
      <c r="C137" s="4" t="s">
        <v>460</v>
      </c>
      <c r="D137" s="21">
        <f t="shared" ref="D137:M137" si="4">IF($D$51="Weighed",D$117,IF($D$52&gt;0,D$136/$D$52,0))</f>
        <v>4275</v>
      </c>
      <c r="E137" s="21">
        <f t="shared" si="4"/>
        <v>6107</v>
      </c>
      <c r="F137" s="21">
        <f t="shared" si="4"/>
        <v>6107</v>
      </c>
      <c r="G137" s="21">
        <f t="shared" si="4"/>
        <v>6107</v>
      </c>
      <c r="H137" s="21">
        <f t="shared" si="4"/>
        <v>6107</v>
      </c>
      <c r="I137" s="21">
        <f t="shared" si="4"/>
        <v>6107</v>
      </c>
      <c r="J137" s="21">
        <f t="shared" si="4"/>
        <v>6107</v>
      </c>
      <c r="K137" s="21">
        <f t="shared" si="4"/>
        <v>6107</v>
      </c>
      <c r="L137" s="21">
        <f t="shared" si="4"/>
        <v>6107</v>
      </c>
      <c r="M137" s="21">
        <f t="shared" si="4"/>
        <v>6107</v>
      </c>
      <c r="N137" s="52">
        <f>SUM(D137:M137)</f>
        <v>59238</v>
      </c>
      <c r="R137" s="4" t="s">
        <v>226</v>
      </c>
      <c r="S137" s="9" t="s">
        <v>509</v>
      </c>
    </row>
    <row r="138" spans="2:19" ht="17" x14ac:dyDescent="0.2">
      <c r="B138" s="6" t="s">
        <v>510</v>
      </c>
      <c r="C138" s="4"/>
      <c r="D138" s="4" t="str">
        <f t="shared" ref="D138:M138" si="5">IF($D$53&lt;=0,"n/a",IF(D$137&gt;0,IF(D$136/D$137&gt;$D$53,"Above ceiling","OK"),"n/a"))</f>
        <v>OK</v>
      </c>
      <c r="E138" s="4" t="str">
        <f t="shared" si="5"/>
        <v>OK</v>
      </c>
      <c r="F138" s="4" t="str">
        <f t="shared" si="5"/>
        <v>OK</v>
      </c>
      <c r="G138" s="4" t="str">
        <f t="shared" si="5"/>
        <v>OK</v>
      </c>
      <c r="H138" s="4" t="str">
        <f t="shared" si="5"/>
        <v>OK</v>
      </c>
      <c r="I138" s="4" t="str">
        <f t="shared" si="5"/>
        <v>OK</v>
      </c>
      <c r="J138" s="4" t="str">
        <f t="shared" si="5"/>
        <v>OK</v>
      </c>
      <c r="K138" s="4" t="str">
        <f t="shared" si="5"/>
        <v>OK</v>
      </c>
      <c r="L138" s="4" t="str">
        <f t="shared" si="5"/>
        <v>OK</v>
      </c>
      <c r="M138" s="4" t="str">
        <f t="shared" si="5"/>
        <v>OK</v>
      </c>
      <c r="R138" s="4"/>
      <c r="S138" s="9" t="s">
        <v>511</v>
      </c>
    </row>
    <row r="139" spans="2:19" ht="30" customHeight="1" x14ac:dyDescent="0.2">
      <c r="B139" s="6" t="s">
        <v>512</v>
      </c>
      <c r="C139" s="4" t="s">
        <v>513</v>
      </c>
      <c r="D139" s="21">
        <f>D$136*$D$80*Defaults!$C$5</f>
        <v>3247.8600000000029</v>
      </c>
      <c r="E139" s="21">
        <f>E$136*$D$80*Defaults!$C$5</f>
        <v>4639.8000000000047</v>
      </c>
      <c r="F139" s="21">
        <f>F$136*$D$80*Defaults!$C$5</f>
        <v>4639.8000000000047</v>
      </c>
      <c r="G139" s="21">
        <f>G$136*$D$80*Defaults!$C$5</f>
        <v>4639.8000000000047</v>
      </c>
      <c r="H139" s="21">
        <f>H$136*$D$80*Defaults!$C$5</f>
        <v>4639.8000000000047</v>
      </c>
      <c r="I139" s="21">
        <f>I$136*$D$80*Defaults!$C$5</f>
        <v>4639.8000000000047</v>
      </c>
      <c r="J139" s="21">
        <f>J$136*$D$80*Defaults!$C$5</f>
        <v>4639.8000000000047</v>
      </c>
      <c r="K139" s="21">
        <f>K$136*$D$80*Defaults!$C$5</f>
        <v>4639.8000000000047</v>
      </c>
      <c r="L139" s="21">
        <f>L$136*$D$80*Defaults!$C$5</f>
        <v>4639.8000000000047</v>
      </c>
      <c r="M139" s="21">
        <f>M$136*$D$80*Defaults!$C$5</f>
        <v>4639.8000000000047</v>
      </c>
      <c r="N139" s="52">
        <f>SUM(D139:M139)</f>
        <v>45006.060000000034</v>
      </c>
      <c r="R139" s="4" t="s">
        <v>221</v>
      </c>
      <c r="S139" s="9" t="s">
        <v>514</v>
      </c>
    </row>
    <row r="140" spans="2:19" ht="17" x14ac:dyDescent="0.2">
      <c r="B140" s="35" t="s">
        <v>227</v>
      </c>
      <c r="C140" s="2" t="s">
        <v>515</v>
      </c>
      <c r="D140" s="26">
        <f t="shared" ref="D140:M140" si="6">D$139*$D$88*(1-$D$91)*(1-$D$36)</f>
        <v>2549.163548763127</v>
      </c>
      <c r="E140" s="26">
        <f t="shared" si="6"/>
        <v>3641.6622125187532</v>
      </c>
      <c r="F140" s="26">
        <f t="shared" si="6"/>
        <v>3641.6622125187532</v>
      </c>
      <c r="G140" s="26">
        <f t="shared" si="6"/>
        <v>3641.6622125187532</v>
      </c>
      <c r="H140" s="26">
        <f t="shared" si="6"/>
        <v>3641.6622125187532</v>
      </c>
      <c r="I140" s="26">
        <f t="shared" si="6"/>
        <v>3641.6622125187532</v>
      </c>
      <c r="J140" s="26">
        <f t="shared" si="6"/>
        <v>3641.6622125187532</v>
      </c>
      <c r="K140" s="26">
        <f t="shared" si="6"/>
        <v>3641.6622125187532</v>
      </c>
      <c r="L140" s="26">
        <f t="shared" si="6"/>
        <v>3641.6622125187532</v>
      </c>
      <c r="M140" s="26">
        <f t="shared" si="6"/>
        <v>3641.6622125187532</v>
      </c>
      <c r="N140" s="26">
        <f>SUM(D140:M140)</f>
        <v>35324.123461431911</v>
      </c>
      <c r="R140" s="2" t="s">
        <v>221</v>
      </c>
      <c r="S140" s="27" t="s">
        <v>516</v>
      </c>
    </row>
    <row r="142" spans="2:19" ht="16" x14ac:dyDescent="0.2">
      <c r="B142" s="49" t="s">
        <v>203</v>
      </c>
    </row>
    <row r="143" spans="2:19" ht="17" x14ac:dyDescent="0.2">
      <c r="B143" s="6" t="s">
        <v>517</v>
      </c>
      <c r="C143" s="4" t="s">
        <v>518</v>
      </c>
      <c r="D143" s="57">
        <f>IF(LEFT($D$97,8)="Option A",IF($D$54="Moist (&gt; 24%) — not creditable",0,D$136*$D$98),IF(LEFT($D$97,8)="Option B",D$136*$D$100,IF(LEFT($D$97,7)="Track 2",D$120*Defaults!$C$22,D$121)))*$D$29</f>
        <v>168</v>
      </c>
      <c r="E143" s="57">
        <f>IF(LEFT($D$97,8)="Option A",IF($D$54="Moist (&gt; 24%) — not creditable",0,E$136*$D$98),IF(LEFT($D$97,8)="Option B",E$136*$D$100,IF(LEFT($D$97,7)="Track 2",E$120*Defaults!$C$22,E$121)))*$D$29</f>
        <v>126</v>
      </c>
      <c r="F143" s="57">
        <f>IF(LEFT($D$97,8)="Option A",IF($D$54="Moist (&gt; 24%) — not creditable",0,F$136*$D$98),IF(LEFT($D$97,8)="Option B",F$136*$D$100,IF(LEFT($D$97,7)="Track 2",F$120*Defaults!$C$22,F$121)))*$D$29</f>
        <v>105</v>
      </c>
      <c r="G143" s="57">
        <f>IF(LEFT($D$97,8)="Option A",IF($D$54="Moist (&gt; 24%) — not creditable",0,G$136*$D$98),IF(LEFT($D$97,8)="Option B",G$136*$D$100,IF(LEFT($D$97,7)="Track 2",G$120*Defaults!$C$22,G$121)))*$D$29</f>
        <v>84</v>
      </c>
      <c r="H143" s="57">
        <f>IF(LEFT($D$97,8)="Option A",IF($D$54="Moist (&gt; 24%) — not creditable",0,H$136*$D$98),IF(LEFT($D$97,8)="Option B",H$136*$D$100,IF(LEFT($D$97,7)="Track 2",H$120*Defaults!$C$22,H$121)))*$D$29</f>
        <v>84</v>
      </c>
      <c r="I143" s="57">
        <f>IF(LEFT($D$97,8)="Option A",IF($D$54="Moist (&gt; 24%) — not creditable",0,I$136*$D$98),IF(LEFT($D$97,8)="Option B",I$136*$D$100,IF(LEFT($D$97,7)="Track 2",I$120*Defaults!$C$22,I$121)))*$D$29</f>
        <v>84</v>
      </c>
      <c r="J143" s="57">
        <f>IF(LEFT($D$97,8)="Option A",IF($D$54="Moist (&gt; 24%) — not creditable",0,J$136*$D$98),IF(LEFT($D$97,8)="Option B",J$136*$D$100,IF(LEFT($D$97,7)="Track 2",J$120*Defaults!$C$22,J$121)))*$D$29</f>
        <v>84</v>
      </c>
      <c r="K143" s="57">
        <f>IF(LEFT($D$97,8)="Option A",IF($D$54="Moist (&gt; 24%) — not creditable",0,K$136*$D$98),IF(LEFT($D$97,8)="Option B",K$136*$D$100,IF(LEFT($D$97,7)="Track 2",K$120*Defaults!$C$22,K$121)))*$D$29</f>
        <v>84</v>
      </c>
      <c r="L143" s="57">
        <f>IF(LEFT($D$97,8)="Option A",IF($D$54="Moist (&gt; 24%) — not creditable",0,L$136*$D$98),IF(LEFT($D$97,8)="Option B",L$136*$D$100,IF(LEFT($D$97,7)="Track 2",L$120*Defaults!$C$22,L$121)))*$D$29</f>
        <v>84</v>
      </c>
      <c r="M143" s="57">
        <f>IF(LEFT($D$97,8)="Option A",IF($D$54="Moist (&gt; 24%) — not creditable",0,M$136*$D$98),IF(LEFT($D$97,8)="Option B",M$136*$D$100,IF(LEFT($D$97,7)="Track 2",M$120*Defaults!$C$22,M$121)))*$D$29</f>
        <v>84</v>
      </c>
      <c r="N143" s="54">
        <f t="shared" ref="N143:N151" si="7">SUM(D143:M143)</f>
        <v>987</v>
      </c>
      <c r="R143" s="4" t="s">
        <v>221</v>
      </c>
      <c r="S143" s="9" t="s">
        <v>142</v>
      </c>
    </row>
    <row r="144" spans="2:19" ht="17" x14ac:dyDescent="0.2">
      <c r="B144" s="6" t="s">
        <v>519</v>
      </c>
      <c r="C144" s="4" t="s">
        <v>520</v>
      </c>
      <c r="D144" s="57">
        <f>IF(LEFT($D$104,9)="Small-hub",D$137*Defaults!$C$19,D$122*$D$101+D$123*$D$102)</f>
        <v>9.2159999999999993</v>
      </c>
      <c r="E144" s="57">
        <f>IF(LEFT($D$104,9)="Small-hub",E$137*Defaults!$C$19,E$122*$D$101+E$123*$D$102)</f>
        <v>13.176</v>
      </c>
      <c r="F144" s="57">
        <f>IF(LEFT($D$104,9)="Small-hub",F$137*Defaults!$C$19,F$122*$D$101+F$123*$D$102)</f>
        <v>13.176</v>
      </c>
      <c r="G144" s="57">
        <f>IF(LEFT($D$104,9)="Small-hub",G$137*Defaults!$C$19,G$122*$D$101+G$123*$D$102)</f>
        <v>13.176</v>
      </c>
      <c r="H144" s="57">
        <f>IF(LEFT($D$104,9)="Small-hub",H$137*Defaults!$C$19,H$122*$D$101+H$123*$D$102)</f>
        <v>13.176</v>
      </c>
      <c r="I144" s="57">
        <f>IF(LEFT($D$104,9)="Small-hub",I$137*Defaults!$C$19,I$122*$D$101+I$123*$D$102)</f>
        <v>13.176</v>
      </c>
      <c r="J144" s="57">
        <f>IF(LEFT($D$104,9)="Small-hub",J$137*Defaults!$C$19,J$122*$D$101+J$123*$D$102)</f>
        <v>13.176</v>
      </c>
      <c r="K144" s="57">
        <f>IF(LEFT($D$104,9)="Small-hub",K$137*Defaults!$C$19,K$122*$D$101+K$123*$D$102)</f>
        <v>13.176</v>
      </c>
      <c r="L144" s="57">
        <f>IF(LEFT($D$104,9)="Small-hub",L$137*Defaults!$C$19,L$122*$D$101+L$123*$D$102)</f>
        <v>13.176</v>
      </c>
      <c r="M144" s="57">
        <f>IF(LEFT($D$104,9)="Small-hub",M$137*Defaults!$C$19,M$122*$D$101+M$123*$D$102)</f>
        <v>13.176</v>
      </c>
      <c r="N144" s="54">
        <f t="shared" si="7"/>
        <v>127.80000000000001</v>
      </c>
      <c r="R144" s="4" t="s">
        <v>221</v>
      </c>
      <c r="S144" s="9" t="s">
        <v>137</v>
      </c>
    </row>
    <row r="145" spans="2:19" ht="17" x14ac:dyDescent="0.2">
      <c r="B145" s="6" t="s">
        <v>521</v>
      </c>
      <c r="C145" s="4" t="s">
        <v>466</v>
      </c>
      <c r="D145" s="57">
        <f>IF(LEFT($D$69,7)="Default",D$137*$D$70*Defaults!$C$24*Defaults!$C$25*$D$29*MAX(0,D$118),IF(LEFT($D$69,8)="Activity",D$119,0))</f>
        <v>0</v>
      </c>
      <c r="E145" s="57">
        <f>IF(LEFT($D$69,7)="Default",E$137*$D$70*Defaults!$C$24*Defaults!$C$25*$D$29*MAX(0,E$118),IF(LEFT($D$69,8)="Activity",E$119,0))</f>
        <v>0</v>
      </c>
      <c r="F145" s="57">
        <f>IF(LEFT($D$69,7)="Default",F$137*$D$70*Defaults!$C$24*Defaults!$C$25*$D$29*MAX(0,F$118),IF(LEFT($D$69,8)="Activity",F$119,0))</f>
        <v>0</v>
      </c>
      <c r="G145" s="57">
        <f>IF(LEFT($D$69,7)="Default",G$137*$D$70*Defaults!$C$24*Defaults!$C$25*$D$29*MAX(0,G$118),IF(LEFT($D$69,8)="Activity",G$119,0))</f>
        <v>0</v>
      </c>
      <c r="H145" s="57">
        <f>IF(LEFT($D$69,7)="Default",H$137*$D$70*Defaults!$C$24*Defaults!$C$25*$D$29*MAX(0,H$118),IF(LEFT($D$69,8)="Activity",H$119,0))</f>
        <v>0</v>
      </c>
      <c r="I145" s="57">
        <f>IF(LEFT($D$69,7)="Default",I$137*$D$70*Defaults!$C$24*Defaults!$C$25*$D$29*MAX(0,I$118),IF(LEFT($D$69,8)="Activity",I$119,0))</f>
        <v>0</v>
      </c>
      <c r="J145" s="57">
        <f>IF(LEFT($D$69,7)="Default",J$137*$D$70*Defaults!$C$24*Defaults!$C$25*$D$29*MAX(0,J$118),IF(LEFT($D$69,8)="Activity",J$119,0))</f>
        <v>0</v>
      </c>
      <c r="K145" s="57">
        <f>IF(LEFT($D$69,7)="Default",K$137*$D$70*Defaults!$C$24*Defaults!$C$25*$D$29*MAX(0,K$118),IF(LEFT($D$69,8)="Activity",K$119,0))</f>
        <v>0</v>
      </c>
      <c r="L145" s="57">
        <f>IF(LEFT($D$69,7)="Default",L$137*$D$70*Defaults!$C$24*Defaults!$C$25*$D$29*MAX(0,L$118),IF(LEFT($D$69,8)="Activity",L$119,0))</f>
        <v>0</v>
      </c>
      <c r="M145" s="57">
        <f>IF(LEFT($D$69,7)="Default",M$137*$D$70*Defaults!$C$24*Defaults!$C$25*$D$29*MAX(0,M$118),IF(LEFT($D$69,8)="Activity",M$119,0))</f>
        <v>0</v>
      </c>
      <c r="N145" s="54">
        <f t="shared" si="7"/>
        <v>0</v>
      </c>
      <c r="R145" s="4" t="s">
        <v>221</v>
      </c>
      <c r="S145" s="9" t="s">
        <v>137</v>
      </c>
    </row>
    <row r="146" spans="2:19" ht="17" x14ac:dyDescent="0.2">
      <c r="B146" s="6" t="s">
        <v>522</v>
      </c>
      <c r="C146" s="4" t="s">
        <v>482</v>
      </c>
      <c r="D146" s="57">
        <f t="shared" ref="D146:M146" si="8">D$124</f>
        <v>0</v>
      </c>
      <c r="E146" s="57">
        <f t="shared" si="8"/>
        <v>0</v>
      </c>
      <c r="F146" s="57">
        <f t="shared" si="8"/>
        <v>0</v>
      </c>
      <c r="G146" s="57">
        <f t="shared" si="8"/>
        <v>0</v>
      </c>
      <c r="H146" s="57">
        <f t="shared" si="8"/>
        <v>0</v>
      </c>
      <c r="I146" s="57">
        <f t="shared" si="8"/>
        <v>0</v>
      </c>
      <c r="J146" s="57">
        <f t="shared" si="8"/>
        <v>0</v>
      </c>
      <c r="K146" s="57">
        <f t="shared" si="8"/>
        <v>0</v>
      </c>
      <c r="L146" s="57">
        <f t="shared" si="8"/>
        <v>0</v>
      </c>
      <c r="M146" s="57">
        <f t="shared" si="8"/>
        <v>0</v>
      </c>
      <c r="N146" s="54">
        <f t="shared" si="7"/>
        <v>0</v>
      </c>
      <c r="R146" s="4" t="s">
        <v>221</v>
      </c>
      <c r="S146" s="9" t="s">
        <v>483</v>
      </c>
    </row>
    <row r="147" spans="2:19" ht="17" x14ac:dyDescent="0.2">
      <c r="B147" s="6" t="s">
        <v>523</v>
      </c>
      <c r="C147" s="4" t="s">
        <v>524</v>
      </c>
      <c r="D147" s="57">
        <f t="shared" ref="D147:M147" si="9">D$125*$D$101+D$126*$D$102</f>
        <v>64.584800000000001</v>
      </c>
      <c r="E147" s="57">
        <f t="shared" si="9"/>
        <v>92.263999999999996</v>
      </c>
      <c r="F147" s="57">
        <f t="shared" si="9"/>
        <v>92.263999999999996</v>
      </c>
      <c r="G147" s="57">
        <f t="shared" si="9"/>
        <v>92.263999999999996</v>
      </c>
      <c r="H147" s="57">
        <f t="shared" si="9"/>
        <v>92.263999999999996</v>
      </c>
      <c r="I147" s="57">
        <f t="shared" si="9"/>
        <v>92.263999999999996</v>
      </c>
      <c r="J147" s="57">
        <f t="shared" si="9"/>
        <v>92.263999999999996</v>
      </c>
      <c r="K147" s="57">
        <f t="shared" si="9"/>
        <v>92.263999999999996</v>
      </c>
      <c r="L147" s="57">
        <f t="shared" si="9"/>
        <v>92.263999999999996</v>
      </c>
      <c r="M147" s="57">
        <f t="shared" si="9"/>
        <v>92.263999999999996</v>
      </c>
      <c r="N147" s="54">
        <f t="shared" si="7"/>
        <v>894.96080000000006</v>
      </c>
      <c r="R147" s="4" t="s">
        <v>221</v>
      </c>
      <c r="S147" s="9" t="s">
        <v>142</v>
      </c>
    </row>
    <row r="148" spans="2:19" ht="17" x14ac:dyDescent="0.2">
      <c r="B148" s="6" t="s">
        <v>525</v>
      </c>
      <c r="C148" s="4" t="s">
        <v>526</v>
      </c>
      <c r="D148" s="57">
        <f t="shared" ref="D148:M148" si="10">D$127*$D$103</f>
        <v>8.6183999999999994</v>
      </c>
      <c r="E148" s="57">
        <f t="shared" si="10"/>
        <v>12.312000000000001</v>
      </c>
      <c r="F148" s="57">
        <f t="shared" si="10"/>
        <v>12.312000000000001</v>
      </c>
      <c r="G148" s="57">
        <f t="shared" si="10"/>
        <v>12.312000000000001</v>
      </c>
      <c r="H148" s="57">
        <f t="shared" si="10"/>
        <v>12.312000000000001</v>
      </c>
      <c r="I148" s="57">
        <f t="shared" si="10"/>
        <v>12.312000000000001</v>
      </c>
      <c r="J148" s="57">
        <f t="shared" si="10"/>
        <v>12.312000000000001</v>
      </c>
      <c r="K148" s="57">
        <f t="shared" si="10"/>
        <v>12.312000000000001</v>
      </c>
      <c r="L148" s="57">
        <f t="shared" si="10"/>
        <v>12.312000000000001</v>
      </c>
      <c r="M148" s="57">
        <f t="shared" si="10"/>
        <v>12.312000000000001</v>
      </c>
      <c r="N148" s="54">
        <f t="shared" si="7"/>
        <v>119.42639999999999</v>
      </c>
      <c r="R148" s="4" t="s">
        <v>221</v>
      </c>
      <c r="S148" s="9" t="s">
        <v>146</v>
      </c>
    </row>
    <row r="149" spans="2:19" ht="17" x14ac:dyDescent="0.2">
      <c r="B149" s="6" t="s">
        <v>527</v>
      </c>
      <c r="C149" s="4" t="s">
        <v>528</v>
      </c>
      <c r="D149" s="57">
        <f t="shared" ref="D149:M149" si="11">D$128*$D$101+D$129</f>
        <v>3.8484800000000003</v>
      </c>
      <c r="E149" s="57">
        <f t="shared" si="11"/>
        <v>5.4993600000000002</v>
      </c>
      <c r="F149" s="57">
        <f t="shared" si="11"/>
        <v>5.4993600000000002</v>
      </c>
      <c r="G149" s="57">
        <f t="shared" si="11"/>
        <v>5.4993600000000002</v>
      </c>
      <c r="H149" s="57">
        <f t="shared" si="11"/>
        <v>5.4993600000000002</v>
      </c>
      <c r="I149" s="57">
        <f t="shared" si="11"/>
        <v>5.4993600000000002</v>
      </c>
      <c r="J149" s="57">
        <f t="shared" si="11"/>
        <v>5.4993600000000002</v>
      </c>
      <c r="K149" s="57">
        <f t="shared" si="11"/>
        <v>5.4993600000000002</v>
      </c>
      <c r="L149" s="57">
        <f t="shared" si="11"/>
        <v>5.4993600000000002</v>
      </c>
      <c r="M149" s="57">
        <f t="shared" si="11"/>
        <v>5.4993600000000002</v>
      </c>
      <c r="N149" s="54">
        <f t="shared" si="7"/>
        <v>53.342720000000007</v>
      </c>
      <c r="R149" s="4" t="s">
        <v>221</v>
      </c>
      <c r="S149" s="9" t="s">
        <v>149</v>
      </c>
    </row>
    <row r="150" spans="2:19" ht="17" x14ac:dyDescent="0.2">
      <c r="B150" s="6" t="s">
        <v>529</v>
      </c>
      <c r="C150" s="4"/>
      <c r="D150" s="57">
        <f t="shared" ref="D150:M150" si="12">D$143+D$144+D$145+D$146+D$147+D$148+D$149</f>
        <v>254.26768000000001</v>
      </c>
      <c r="E150" s="57">
        <f t="shared" si="12"/>
        <v>249.25136000000001</v>
      </c>
      <c r="F150" s="57">
        <f t="shared" si="12"/>
        <v>228.25136000000001</v>
      </c>
      <c r="G150" s="57">
        <f t="shared" si="12"/>
        <v>207.25136000000001</v>
      </c>
      <c r="H150" s="57">
        <f t="shared" si="12"/>
        <v>207.25136000000001</v>
      </c>
      <c r="I150" s="57">
        <f t="shared" si="12"/>
        <v>207.25136000000001</v>
      </c>
      <c r="J150" s="57">
        <f t="shared" si="12"/>
        <v>207.25136000000001</v>
      </c>
      <c r="K150" s="57">
        <f t="shared" si="12"/>
        <v>207.25136000000001</v>
      </c>
      <c r="L150" s="57">
        <f t="shared" si="12"/>
        <v>207.25136000000001</v>
      </c>
      <c r="M150" s="57">
        <f t="shared" si="12"/>
        <v>207.25136000000001</v>
      </c>
      <c r="N150" s="54">
        <f t="shared" si="7"/>
        <v>2182.5299199999999</v>
      </c>
      <c r="R150" s="4" t="s">
        <v>221</v>
      </c>
      <c r="S150" s="9" t="s">
        <v>134</v>
      </c>
    </row>
    <row r="151" spans="2:19" ht="17" x14ac:dyDescent="0.2">
      <c r="B151" s="35" t="s">
        <v>228</v>
      </c>
      <c r="C151" s="2" t="s">
        <v>530</v>
      </c>
      <c r="D151" s="26">
        <f t="shared" ref="D151:M151" si="13">D$150*(1+$D$37)</f>
        <v>266.981064</v>
      </c>
      <c r="E151" s="26">
        <f t="shared" si="13"/>
        <v>261.71392800000001</v>
      </c>
      <c r="F151" s="26">
        <f t="shared" si="13"/>
        <v>239.66392800000003</v>
      </c>
      <c r="G151" s="26">
        <f t="shared" si="13"/>
        <v>217.61392800000002</v>
      </c>
      <c r="H151" s="26">
        <f t="shared" si="13"/>
        <v>217.61392800000002</v>
      </c>
      <c r="I151" s="26">
        <f t="shared" si="13"/>
        <v>217.61392800000002</v>
      </c>
      <c r="J151" s="26">
        <f t="shared" si="13"/>
        <v>217.61392800000002</v>
      </c>
      <c r="K151" s="26">
        <f t="shared" si="13"/>
        <v>217.61392800000002</v>
      </c>
      <c r="L151" s="26">
        <f t="shared" si="13"/>
        <v>217.61392800000002</v>
      </c>
      <c r="M151" s="26">
        <f t="shared" si="13"/>
        <v>217.61392800000002</v>
      </c>
      <c r="N151" s="26">
        <f t="shared" si="7"/>
        <v>2291.6564160000003</v>
      </c>
      <c r="R151" s="2" t="s">
        <v>221</v>
      </c>
      <c r="S151" s="27" t="s">
        <v>531</v>
      </c>
    </row>
    <row r="153" spans="2:19" ht="16" x14ac:dyDescent="0.2">
      <c r="B153" s="49" t="s">
        <v>204</v>
      </c>
    </row>
    <row r="154" spans="2:19" ht="30" customHeight="1" x14ac:dyDescent="0.2">
      <c r="B154" s="6" t="s">
        <v>532</v>
      </c>
      <c r="C154" s="4" t="s">
        <v>432</v>
      </c>
      <c r="D154" s="57">
        <f>IF($D$109="Option B (inventory)",IF(1&lt;=$D$25,$D$108*D$115,0),IF(1&lt;=$D$25,D$136*IF($D$21="Track 1",Defaults!$C$20,Defaults!$C$21),0))</f>
        <v>59.85</v>
      </c>
      <c r="E154" s="57">
        <f>IF($D$109="Option B (inventory)",IF(2&lt;=$D$25,$D$108*E$115,0),IF(2&lt;=$D$25,E$136*IF($D$21="Track 1",Defaults!$C$20,Defaults!$C$21),0))</f>
        <v>85.5</v>
      </c>
      <c r="F154" s="57">
        <f>IF($D$109="Option B (inventory)",IF(3&lt;=$D$25,$D$108*F$115,0),IF(3&lt;=$D$25,F$136*IF($D$21="Track 1",Defaults!$C$20,Defaults!$C$21),0))</f>
        <v>85.5</v>
      </c>
      <c r="G154" s="57">
        <f>IF($D$109="Option B (inventory)",IF(4&lt;=$D$25,$D$108*G$115,0),IF(4&lt;=$D$25,G$136*IF($D$21="Track 1",Defaults!$C$20,Defaults!$C$21),0))</f>
        <v>85.5</v>
      </c>
      <c r="H154" s="57">
        <f>IF($D$109="Option B (inventory)",IF(5&lt;=$D$25,$D$108*H$115,0),IF(5&lt;=$D$25,H$136*IF($D$21="Track 1",Defaults!$C$20,Defaults!$C$21),0))</f>
        <v>85.5</v>
      </c>
      <c r="I154" s="57">
        <f>IF($D$109="Option B (inventory)",IF(6&lt;=$D$25,$D$108*I$115,0),IF(6&lt;=$D$25,I$136*IF($D$21="Track 1",Defaults!$C$20,Defaults!$C$21),0))</f>
        <v>0</v>
      </c>
      <c r="J154" s="57">
        <f>IF($D$109="Option B (inventory)",IF(7&lt;=$D$25,$D$108*J$115,0),IF(7&lt;=$D$25,J$136*IF($D$21="Track 1",Defaults!$C$20,Defaults!$C$21),0))</f>
        <v>0</v>
      </c>
      <c r="K154" s="57">
        <f>IF($D$109="Option B (inventory)",IF(8&lt;=$D$25,$D$108*K$115,0),IF(8&lt;=$D$25,K$136*IF($D$21="Track 1",Defaults!$C$20,Defaults!$C$21),0))</f>
        <v>0</v>
      </c>
      <c r="L154" s="57">
        <f>IF($D$109="Option B (inventory)",IF(9&lt;=$D$25,$D$108*L$115,0),IF(9&lt;=$D$25,L$136*IF($D$21="Track 1",Defaults!$C$20,Defaults!$C$21),0))</f>
        <v>0</v>
      </c>
      <c r="M154" s="57">
        <f>IF($D$109="Option B (inventory)",IF(10&lt;=$D$25,$D$108*M$115,0),IF(10&lt;=$D$25,M$136*IF($D$21="Track 1",Defaults!$C$20,Defaults!$C$21),0))</f>
        <v>0</v>
      </c>
      <c r="N154" s="54">
        <f t="shared" ref="N154:N159" si="14">SUM(D154:M154)</f>
        <v>401.85</v>
      </c>
      <c r="R154" s="4" t="s">
        <v>221</v>
      </c>
      <c r="S154" s="9" t="s">
        <v>436</v>
      </c>
    </row>
    <row r="155" spans="2:19" ht="17" x14ac:dyDescent="0.2">
      <c r="B155" s="6" t="s">
        <v>533</v>
      </c>
      <c r="C155" s="4" t="s">
        <v>534</v>
      </c>
      <c r="D155" s="57">
        <f>IF($D$55="Yes",0,D$130*IF(LEFT($D$56,6)="Fodder",$D$57,INDEX(Defaults!$C$74:$C$79,MATCH($D$56,Defaults!$B$74:$B$79,0))))</f>
        <v>0</v>
      </c>
      <c r="E155" s="57">
        <f>IF($D$55="Yes",0,E$130*IF(LEFT($D$56,6)="Fodder",$D$57,INDEX(Defaults!$C$74:$C$79,MATCH($D$56,Defaults!$B$74:$B$79,0))))</f>
        <v>0</v>
      </c>
      <c r="F155" s="57">
        <f>IF($D$55="Yes",0,F$130*IF(LEFT($D$56,6)="Fodder",$D$57,INDEX(Defaults!$C$74:$C$79,MATCH($D$56,Defaults!$B$74:$B$79,0))))</f>
        <v>0</v>
      </c>
      <c r="G155" s="57">
        <f>IF($D$55="Yes",0,G$130*IF(LEFT($D$56,6)="Fodder",$D$57,INDEX(Defaults!$C$74:$C$79,MATCH($D$56,Defaults!$B$74:$B$79,0))))</f>
        <v>0</v>
      </c>
      <c r="H155" s="57">
        <f>IF($D$55="Yes",0,H$130*IF(LEFT($D$56,6)="Fodder",$D$57,INDEX(Defaults!$C$74:$C$79,MATCH($D$56,Defaults!$B$74:$B$79,0))))</f>
        <v>0</v>
      </c>
      <c r="I155" s="57">
        <f>IF($D$55="Yes",0,I$130*IF(LEFT($D$56,6)="Fodder",$D$57,INDEX(Defaults!$C$74:$C$79,MATCH($D$56,Defaults!$B$74:$B$79,0))))</f>
        <v>0</v>
      </c>
      <c r="J155" s="57">
        <f>IF($D$55="Yes",0,J$130*IF(LEFT($D$56,6)="Fodder",$D$57,INDEX(Defaults!$C$74:$C$79,MATCH($D$56,Defaults!$B$74:$B$79,0))))</f>
        <v>0</v>
      </c>
      <c r="K155" s="57">
        <f>IF($D$55="Yes",0,K$130*IF(LEFT($D$56,6)="Fodder",$D$57,INDEX(Defaults!$C$74:$C$79,MATCH($D$56,Defaults!$B$74:$B$79,0))))</f>
        <v>0</v>
      </c>
      <c r="L155" s="57">
        <f>IF($D$55="Yes",0,L$130*IF(LEFT($D$56,6)="Fodder",$D$57,INDEX(Defaults!$C$74:$C$79,MATCH($D$56,Defaults!$B$74:$B$79,0))))</f>
        <v>0</v>
      </c>
      <c r="M155" s="57">
        <f>IF($D$55="Yes",0,M$130*IF(LEFT($D$56,6)="Fodder",$D$57,INDEX(Defaults!$C$74:$C$79,MATCH($D$56,Defaults!$B$74:$B$79,0))))</f>
        <v>0</v>
      </c>
      <c r="N155" s="54">
        <f t="shared" si="14"/>
        <v>0</v>
      </c>
      <c r="R155" s="4" t="s">
        <v>221</v>
      </c>
      <c r="S155" s="9" t="s">
        <v>535</v>
      </c>
    </row>
    <row r="156" spans="2:19" ht="30" customHeight="1" x14ac:dyDescent="0.2">
      <c r="B156" s="6" t="s">
        <v>536</v>
      </c>
      <c r="C156" s="4"/>
      <c r="D156" s="57">
        <f>IF(AND(LEFT($D$23,2)="F1",LEFT($D$58,8)="Retained"),D$137*Defaults!$C$32,0)</f>
        <v>0</v>
      </c>
      <c r="E156" s="57">
        <f>IF(AND(LEFT($D$23,2)="F1",LEFT($D$58,8)="Retained"),E$137*Defaults!$C$32,0)</f>
        <v>0</v>
      </c>
      <c r="F156" s="57">
        <f>IF(AND(LEFT($D$23,2)="F1",LEFT($D$58,8)="Retained"),F$137*Defaults!$C$32,0)</f>
        <v>0</v>
      </c>
      <c r="G156" s="57">
        <f>IF(AND(LEFT($D$23,2)="F1",LEFT($D$58,8)="Retained"),G$137*Defaults!$C$32,0)</f>
        <v>0</v>
      </c>
      <c r="H156" s="57">
        <f>IF(AND(LEFT($D$23,2)="F1",LEFT($D$58,8)="Retained"),H$137*Defaults!$C$32,0)</f>
        <v>0</v>
      </c>
      <c r="I156" s="57">
        <f>IF(AND(LEFT($D$23,2)="F1",LEFT($D$58,8)="Retained"),I$137*Defaults!$C$32,0)</f>
        <v>0</v>
      </c>
      <c r="J156" s="57">
        <f>IF(AND(LEFT($D$23,2)="F1",LEFT($D$58,8)="Retained"),J$137*Defaults!$C$32,0)</f>
        <v>0</v>
      </c>
      <c r="K156" s="57">
        <f>IF(AND(LEFT($D$23,2)="F1",LEFT($D$58,8)="Retained"),K$137*Defaults!$C$32,0)</f>
        <v>0</v>
      </c>
      <c r="L156" s="57">
        <f>IF(AND(LEFT($D$23,2)="F1",LEFT($D$58,8)="Retained"),L$137*Defaults!$C$32,0)</f>
        <v>0</v>
      </c>
      <c r="M156" s="57">
        <f>IF(AND(LEFT($D$23,2)="F1",LEFT($D$58,8)="Retained"),M$137*Defaults!$C$32,0)</f>
        <v>0</v>
      </c>
      <c r="N156" s="54">
        <f t="shared" si="14"/>
        <v>0</v>
      </c>
      <c r="R156" s="4" t="s">
        <v>221</v>
      </c>
      <c r="S156" s="9" t="s">
        <v>537</v>
      </c>
    </row>
    <row r="157" spans="2:19" ht="30" customHeight="1" x14ac:dyDescent="0.2">
      <c r="B157" s="6" t="s">
        <v>538</v>
      </c>
      <c r="C157" s="4"/>
      <c r="D157" s="57">
        <f>IF(LEFT($D$23,2)&lt;&gt;"F1",0,IF(LEFT($D$58,7)="Removed",0,D$137*(IF(LEFT($D$58,8)="Retained",$D$65*Defaults!$C$33,0)+(1-$D$68)*($D$66*Defaults!$C$43+$D$67*Defaults!$C$44))))</f>
        <v>0</v>
      </c>
      <c r="E157" s="57">
        <f>IF(LEFT($D$23,2)&lt;&gt;"F1",0,IF(LEFT($D$58,7)="Removed",0,E$137*(IF(LEFT($D$58,8)="Retained",$D$65*Defaults!$C$33,0)+(1-$D$68)*($D$66*Defaults!$C$43+$D$67*Defaults!$C$44))))</f>
        <v>0</v>
      </c>
      <c r="F157" s="57">
        <f>IF(LEFT($D$23,2)&lt;&gt;"F1",0,IF(LEFT($D$58,7)="Removed",0,F$137*(IF(LEFT($D$58,8)="Retained",$D$65*Defaults!$C$33,0)+(1-$D$68)*($D$66*Defaults!$C$43+$D$67*Defaults!$C$44))))</f>
        <v>0</v>
      </c>
      <c r="G157" s="57">
        <f>IF(LEFT($D$23,2)&lt;&gt;"F1",0,IF(LEFT($D$58,7)="Removed",0,G$137*(IF(LEFT($D$58,8)="Retained",$D$65*Defaults!$C$33,0)+(1-$D$68)*($D$66*Defaults!$C$43+$D$67*Defaults!$C$44))))</f>
        <v>0</v>
      </c>
      <c r="H157" s="57">
        <f>IF(LEFT($D$23,2)&lt;&gt;"F1",0,IF(LEFT($D$58,7)="Removed",0,H$137*(IF(LEFT($D$58,8)="Retained",$D$65*Defaults!$C$33,0)+(1-$D$68)*($D$66*Defaults!$C$43+$D$67*Defaults!$C$44))))</f>
        <v>0</v>
      </c>
      <c r="I157" s="57">
        <f>IF(LEFT($D$23,2)&lt;&gt;"F1",0,IF(LEFT($D$58,7)="Removed",0,I$137*(IF(LEFT($D$58,8)="Retained",$D$65*Defaults!$C$33,0)+(1-$D$68)*($D$66*Defaults!$C$43+$D$67*Defaults!$C$44))))</f>
        <v>0</v>
      </c>
      <c r="J157" s="57">
        <f>IF(LEFT($D$23,2)&lt;&gt;"F1",0,IF(LEFT($D$58,7)="Removed",0,J$137*(IF(LEFT($D$58,8)="Retained",$D$65*Defaults!$C$33,0)+(1-$D$68)*($D$66*Defaults!$C$43+$D$67*Defaults!$C$44))))</f>
        <v>0</v>
      </c>
      <c r="K157" s="57">
        <f>IF(LEFT($D$23,2)&lt;&gt;"F1",0,IF(LEFT($D$58,7)="Removed",0,K$137*(IF(LEFT($D$58,8)="Retained",$D$65*Defaults!$C$33,0)+(1-$D$68)*($D$66*Defaults!$C$43+$D$67*Defaults!$C$44))))</f>
        <v>0</v>
      </c>
      <c r="L157" s="57">
        <f>IF(LEFT($D$23,2)&lt;&gt;"F1",0,IF(LEFT($D$58,7)="Removed",0,L$137*(IF(LEFT($D$58,8)="Retained",$D$65*Defaults!$C$33,0)+(1-$D$68)*($D$66*Defaults!$C$43+$D$67*Defaults!$C$44))))</f>
        <v>0</v>
      </c>
      <c r="M157" s="57">
        <f>IF(LEFT($D$23,2)&lt;&gt;"F1",0,IF(LEFT($D$58,7)="Removed",0,M$137*(IF(LEFT($D$58,8)="Retained",$D$65*Defaults!$C$33,0)+(1-$D$68)*($D$66*Defaults!$C$43+$D$67*Defaults!$C$44))))</f>
        <v>0</v>
      </c>
      <c r="N157" s="54">
        <f t="shared" si="14"/>
        <v>0</v>
      </c>
      <c r="R157" s="4" t="s">
        <v>221</v>
      </c>
      <c r="S157" s="9" t="s">
        <v>539</v>
      </c>
    </row>
    <row r="158" spans="2:19" ht="17" x14ac:dyDescent="0.2">
      <c r="B158" s="6" t="s">
        <v>540</v>
      </c>
      <c r="C158" s="4"/>
      <c r="D158" s="57">
        <f t="shared" ref="D158:M158" si="15">D$154+D$155+D$156+D$157</f>
        <v>59.85</v>
      </c>
      <c r="E158" s="57">
        <f t="shared" si="15"/>
        <v>85.5</v>
      </c>
      <c r="F158" s="57">
        <f t="shared" si="15"/>
        <v>85.5</v>
      </c>
      <c r="G158" s="57">
        <f t="shared" si="15"/>
        <v>85.5</v>
      </c>
      <c r="H158" s="57">
        <f t="shared" si="15"/>
        <v>85.5</v>
      </c>
      <c r="I158" s="57">
        <f t="shared" si="15"/>
        <v>0</v>
      </c>
      <c r="J158" s="57">
        <f t="shared" si="15"/>
        <v>0</v>
      </c>
      <c r="K158" s="57">
        <f t="shared" si="15"/>
        <v>0</v>
      </c>
      <c r="L158" s="57">
        <f t="shared" si="15"/>
        <v>0</v>
      </c>
      <c r="M158" s="57">
        <f t="shared" si="15"/>
        <v>0</v>
      </c>
      <c r="N158" s="54">
        <f t="shared" si="14"/>
        <v>401.85</v>
      </c>
      <c r="R158" s="4" t="s">
        <v>221</v>
      </c>
      <c r="S158" s="9" t="s">
        <v>230</v>
      </c>
    </row>
    <row r="159" spans="2:19" ht="17" x14ac:dyDescent="0.2">
      <c r="B159" s="35" t="s">
        <v>229</v>
      </c>
      <c r="C159" s="2" t="s">
        <v>541</v>
      </c>
      <c r="D159" s="26">
        <f t="shared" ref="D159:M159" si="16">D$158*(1+$D$38)</f>
        <v>59.85</v>
      </c>
      <c r="E159" s="26">
        <f t="shared" si="16"/>
        <v>85.5</v>
      </c>
      <c r="F159" s="26">
        <f t="shared" si="16"/>
        <v>85.5</v>
      </c>
      <c r="G159" s="26">
        <f t="shared" si="16"/>
        <v>85.5</v>
      </c>
      <c r="H159" s="26">
        <f t="shared" si="16"/>
        <v>85.5</v>
      </c>
      <c r="I159" s="26">
        <f t="shared" si="16"/>
        <v>0</v>
      </c>
      <c r="J159" s="26">
        <f t="shared" si="16"/>
        <v>0</v>
      </c>
      <c r="K159" s="26">
        <f t="shared" si="16"/>
        <v>0</v>
      </c>
      <c r="L159" s="26">
        <f t="shared" si="16"/>
        <v>0</v>
      </c>
      <c r="M159" s="26">
        <f t="shared" si="16"/>
        <v>0</v>
      </c>
      <c r="N159" s="26">
        <f t="shared" si="14"/>
        <v>401.85</v>
      </c>
      <c r="R159" s="2" t="s">
        <v>221</v>
      </c>
      <c r="S159" s="27" t="s">
        <v>542</v>
      </c>
    </row>
    <row r="161" spans="2:19" ht="16" x14ac:dyDescent="0.2">
      <c r="B161" s="49" t="s">
        <v>543</v>
      </c>
    </row>
    <row r="162" spans="2:19" ht="17" x14ac:dyDescent="0.2">
      <c r="B162" s="6" t="s">
        <v>544</v>
      </c>
      <c r="C162" s="4" t="s">
        <v>545</v>
      </c>
      <c r="D162" s="21">
        <f>0</f>
        <v>0</v>
      </c>
      <c r="E162" s="21">
        <f>0</f>
        <v>0</v>
      </c>
      <c r="F162" s="21">
        <f>0</f>
        <v>0</v>
      </c>
      <c r="G162" s="21">
        <f>0</f>
        <v>0</v>
      </c>
      <c r="H162" s="21">
        <f>0</f>
        <v>0</v>
      </c>
      <c r="I162" s="21">
        <f>0</f>
        <v>0</v>
      </c>
      <c r="J162" s="21">
        <f>0</f>
        <v>0</v>
      </c>
      <c r="K162" s="21">
        <f>0</f>
        <v>0</v>
      </c>
      <c r="L162" s="21">
        <f>0</f>
        <v>0</v>
      </c>
      <c r="M162" s="21">
        <f>0</f>
        <v>0</v>
      </c>
      <c r="N162" s="52">
        <f>SUM(D162:M162)</f>
        <v>0</v>
      </c>
      <c r="R162" s="4" t="s">
        <v>221</v>
      </c>
      <c r="S162" s="9" t="s">
        <v>118</v>
      </c>
    </row>
    <row r="163" spans="2:19" ht="17" x14ac:dyDescent="0.2">
      <c r="B163" s="6" t="s">
        <v>546</v>
      </c>
      <c r="C163" s="4" t="s">
        <v>547</v>
      </c>
      <c r="D163" s="21">
        <f t="shared" ref="D163:M163" si="17">D$151+D$159</f>
        <v>326.83106400000003</v>
      </c>
      <c r="E163" s="21">
        <f t="shared" si="17"/>
        <v>347.21392800000001</v>
      </c>
      <c r="F163" s="21">
        <f t="shared" si="17"/>
        <v>325.16392800000006</v>
      </c>
      <c r="G163" s="21">
        <f t="shared" si="17"/>
        <v>303.11392799999999</v>
      </c>
      <c r="H163" s="21">
        <f t="shared" si="17"/>
        <v>303.11392799999999</v>
      </c>
      <c r="I163" s="21">
        <f t="shared" si="17"/>
        <v>217.61392800000002</v>
      </c>
      <c r="J163" s="21">
        <f t="shared" si="17"/>
        <v>217.61392800000002</v>
      </c>
      <c r="K163" s="21">
        <f t="shared" si="17"/>
        <v>217.61392800000002</v>
      </c>
      <c r="L163" s="21">
        <f t="shared" si="17"/>
        <v>217.61392800000002</v>
      </c>
      <c r="M163" s="21">
        <f t="shared" si="17"/>
        <v>217.61392800000002</v>
      </c>
      <c r="N163" s="52">
        <f>SUM(D163:M163)</f>
        <v>2693.5064160000006</v>
      </c>
      <c r="R163" s="4" t="s">
        <v>221</v>
      </c>
      <c r="S163" s="9" t="s">
        <v>548</v>
      </c>
    </row>
    <row r="164" spans="2:19" ht="30" customHeight="1" x14ac:dyDescent="0.2">
      <c r="B164" s="6" t="s">
        <v>549</v>
      </c>
      <c r="C164" s="4" t="s">
        <v>550</v>
      </c>
      <c r="D164" s="58">
        <f>0</f>
        <v>0</v>
      </c>
      <c r="E164" s="58">
        <f t="shared" ref="E164:M164" si="18">IF(D$165&lt;0,D$165,IF(D$167="Fail",MAX(0,D$165),0))</f>
        <v>0</v>
      </c>
      <c r="F164" s="58">
        <f t="shared" si="18"/>
        <v>0</v>
      </c>
      <c r="G164" s="58">
        <f t="shared" si="18"/>
        <v>0</v>
      </c>
      <c r="H164" s="58">
        <f t="shared" si="18"/>
        <v>0</v>
      </c>
      <c r="I164" s="58">
        <f t="shared" si="18"/>
        <v>0</v>
      </c>
      <c r="J164" s="58">
        <f t="shared" si="18"/>
        <v>0</v>
      </c>
      <c r="K164" s="58">
        <f t="shared" si="18"/>
        <v>0</v>
      </c>
      <c r="L164" s="58">
        <f t="shared" si="18"/>
        <v>0</v>
      </c>
      <c r="M164" s="58">
        <f t="shared" si="18"/>
        <v>0</v>
      </c>
      <c r="R164" s="4" t="s">
        <v>221</v>
      </c>
      <c r="S164" s="9" t="s">
        <v>551</v>
      </c>
    </row>
    <row r="165" spans="2:19" ht="17" x14ac:dyDescent="0.2">
      <c r="B165" s="35" t="s">
        <v>552</v>
      </c>
      <c r="C165" s="2" t="s">
        <v>553</v>
      </c>
      <c r="D165" s="59">
        <f t="shared" ref="D165:M165" si="19">D$140-D$162-D$163+D$164</f>
        <v>2222.332484763127</v>
      </c>
      <c r="E165" s="59">
        <f t="shared" si="19"/>
        <v>3294.4482845187531</v>
      </c>
      <c r="F165" s="59">
        <f t="shared" si="19"/>
        <v>3316.4982845187533</v>
      </c>
      <c r="G165" s="59">
        <f t="shared" si="19"/>
        <v>3338.5482845187535</v>
      </c>
      <c r="H165" s="59">
        <f t="shared" si="19"/>
        <v>3338.5482845187535</v>
      </c>
      <c r="I165" s="59">
        <f t="shared" si="19"/>
        <v>3424.048284518753</v>
      </c>
      <c r="J165" s="59">
        <f t="shared" si="19"/>
        <v>3424.048284518753</v>
      </c>
      <c r="K165" s="59">
        <f t="shared" si="19"/>
        <v>3424.048284518753</v>
      </c>
      <c r="L165" s="59">
        <f t="shared" si="19"/>
        <v>3424.048284518753</v>
      </c>
      <c r="M165" s="59">
        <f t="shared" si="19"/>
        <v>3424.048284518753</v>
      </c>
      <c r="R165" s="2" t="s">
        <v>221</v>
      </c>
      <c r="S165" s="27" t="s">
        <v>554</v>
      </c>
    </row>
    <row r="166" spans="2:19" ht="17" x14ac:dyDescent="0.2">
      <c r="B166" s="6" t="s">
        <v>555</v>
      </c>
      <c r="C166" s="4" t="s">
        <v>556</v>
      </c>
      <c r="D166" s="60">
        <f t="shared" ref="D166:M166" si="20">IF(D$150&gt;0,D$139/D$150,IF(D$139&gt;0,999,0))</f>
        <v>12.773389052041544</v>
      </c>
      <c r="E166" s="60">
        <f t="shared" si="20"/>
        <v>18.614943565403234</v>
      </c>
      <c r="F166" s="60">
        <f t="shared" si="20"/>
        <v>20.327589723890384</v>
      </c>
      <c r="G166" s="60">
        <f t="shared" si="20"/>
        <v>22.387307856508176</v>
      </c>
      <c r="H166" s="60">
        <f t="shared" si="20"/>
        <v>22.387307856508176</v>
      </c>
      <c r="I166" s="60">
        <f t="shared" si="20"/>
        <v>22.387307856508176</v>
      </c>
      <c r="J166" s="60">
        <f t="shared" si="20"/>
        <v>22.387307856508176</v>
      </c>
      <c r="K166" s="60">
        <f t="shared" si="20"/>
        <v>22.387307856508176</v>
      </c>
      <c r="L166" s="60">
        <f t="shared" si="20"/>
        <v>22.387307856508176</v>
      </c>
      <c r="M166" s="60">
        <f t="shared" si="20"/>
        <v>22.387307856508176</v>
      </c>
      <c r="R166" s="4" t="s">
        <v>382</v>
      </c>
      <c r="S166" s="9" t="s">
        <v>514</v>
      </c>
    </row>
    <row r="167" spans="2:19" ht="17" x14ac:dyDescent="0.2">
      <c r="B167" s="6" t="s">
        <v>557</v>
      </c>
      <c r="C167" s="4"/>
      <c r="D167" s="4" t="str">
        <f>IF(D$115=0,"n/a",IF(D$166&gt;=Defaults!$C$6,"Pass","Fail"))</f>
        <v>Pass</v>
      </c>
      <c r="E167" s="4" t="str">
        <f>IF(E$115=0,"n/a",IF(E$166&gt;=Defaults!$C$6,"Pass","Fail"))</f>
        <v>Pass</v>
      </c>
      <c r="F167" s="4" t="str">
        <f>IF(F$115=0,"n/a",IF(F$166&gt;=Defaults!$C$6,"Pass","Fail"))</f>
        <v>Pass</v>
      </c>
      <c r="G167" s="4" t="str">
        <f>IF(G$115=0,"n/a",IF(G$166&gt;=Defaults!$C$6,"Pass","Fail"))</f>
        <v>Pass</v>
      </c>
      <c r="H167" s="4" t="str">
        <f>IF(H$115=0,"n/a",IF(H$166&gt;=Defaults!$C$6,"Pass","Fail"))</f>
        <v>Pass</v>
      </c>
      <c r="I167" s="4" t="str">
        <f>IF(I$115=0,"n/a",IF(I$166&gt;=Defaults!$C$6,"Pass","Fail"))</f>
        <v>Pass</v>
      </c>
      <c r="J167" s="4" t="str">
        <f>IF(J$115=0,"n/a",IF(J$166&gt;=Defaults!$C$6,"Pass","Fail"))</f>
        <v>Pass</v>
      </c>
      <c r="K167" s="4" t="str">
        <f>IF(K$115=0,"n/a",IF(K$166&gt;=Defaults!$C$6,"Pass","Fail"))</f>
        <v>Pass</v>
      </c>
      <c r="L167" s="4" t="str">
        <f>IF(L$115=0,"n/a",IF(L$166&gt;=Defaults!$C$6,"Pass","Fail"))</f>
        <v>Pass</v>
      </c>
      <c r="M167" s="4" t="str">
        <f>IF(M$115=0,"n/a",IF(M$166&gt;=Defaults!$C$6,"Pass","Fail"))</f>
        <v>Pass</v>
      </c>
      <c r="N167" s="61">
        <f>COUNTIF(D167:M167,"Fail")</f>
        <v>0</v>
      </c>
      <c r="R167" s="4"/>
      <c r="S167" s="9" t="s">
        <v>163</v>
      </c>
    </row>
    <row r="168" spans="2:19" ht="17" x14ac:dyDescent="0.2">
      <c r="B168" s="6" t="s">
        <v>558</v>
      </c>
      <c r="C168" s="4" t="s">
        <v>559</v>
      </c>
      <c r="D168" s="21">
        <f t="shared" ref="D168:M168" si="21">IF(D$167="Pass",MAX(0,D$165)*$D$46,0)</f>
        <v>144.45161150960325</v>
      </c>
      <c r="E168" s="21">
        <f t="shared" si="21"/>
        <v>214.13913849371895</v>
      </c>
      <c r="F168" s="21">
        <f t="shared" si="21"/>
        <v>215.57238849371896</v>
      </c>
      <c r="G168" s="21">
        <f t="shared" si="21"/>
        <v>217.00563849371898</v>
      </c>
      <c r="H168" s="21">
        <f t="shared" si="21"/>
        <v>217.00563849371898</v>
      </c>
      <c r="I168" s="21">
        <f t="shared" si="21"/>
        <v>222.56313849371895</v>
      </c>
      <c r="J168" s="21">
        <f t="shared" si="21"/>
        <v>222.56313849371895</v>
      </c>
      <c r="K168" s="21">
        <f t="shared" si="21"/>
        <v>222.56313849371895</v>
      </c>
      <c r="L168" s="21">
        <f t="shared" si="21"/>
        <v>222.56313849371895</v>
      </c>
      <c r="M168" s="21">
        <f t="shared" si="21"/>
        <v>222.56313849371895</v>
      </c>
      <c r="N168" s="52">
        <f>SUM(D168:M168)</f>
        <v>2120.9901079530737</v>
      </c>
      <c r="R168" s="4" t="s">
        <v>221</v>
      </c>
      <c r="S168" s="9" t="s">
        <v>560</v>
      </c>
    </row>
    <row r="169" spans="2:19" ht="17" x14ac:dyDescent="0.2">
      <c r="B169" s="6" t="s">
        <v>233</v>
      </c>
      <c r="C169" s="4" t="s">
        <v>561</v>
      </c>
      <c r="D169" s="21">
        <f t="shared" ref="D169:M169" si="22">IF(D$167="Pass",MAX(0,D$165)*D$132,0)</f>
        <v>27.779156059539091</v>
      </c>
      <c r="E169" s="21">
        <f t="shared" si="22"/>
        <v>41.180603556484414</v>
      </c>
      <c r="F169" s="21">
        <f t="shared" si="22"/>
        <v>41.456228556484419</v>
      </c>
      <c r="G169" s="21">
        <f t="shared" si="22"/>
        <v>41.731853556484424</v>
      </c>
      <c r="H169" s="21">
        <f t="shared" si="22"/>
        <v>41.731853556484424</v>
      </c>
      <c r="I169" s="21">
        <f t="shared" si="22"/>
        <v>42.800603556484418</v>
      </c>
      <c r="J169" s="21">
        <f t="shared" si="22"/>
        <v>42.800603556484418</v>
      </c>
      <c r="K169" s="21">
        <f t="shared" si="22"/>
        <v>42.800603556484418</v>
      </c>
      <c r="L169" s="21">
        <f t="shared" si="22"/>
        <v>42.800603556484418</v>
      </c>
      <c r="M169" s="21">
        <f t="shared" si="22"/>
        <v>42.800603556484418</v>
      </c>
      <c r="N169" s="52">
        <f>SUM(D169:M169)</f>
        <v>407.88271306789886</v>
      </c>
      <c r="R169" s="4" t="s">
        <v>221</v>
      </c>
      <c r="S169" s="9" t="s">
        <v>562</v>
      </c>
    </row>
    <row r="170" spans="2:19" ht="17" x14ac:dyDescent="0.2">
      <c r="B170" s="6" t="s">
        <v>563</v>
      </c>
      <c r="C170" s="4" t="s">
        <v>564</v>
      </c>
      <c r="D170" s="21">
        <f t="shared" ref="D170:M170" si="23">IF(D$167="Pass",MAX(0,D$165-D$168-D$169),0)</f>
        <v>2050.1017171939843</v>
      </c>
      <c r="E170" s="21">
        <f t="shared" si="23"/>
        <v>3039.1285424685498</v>
      </c>
      <c r="F170" s="21">
        <f t="shared" si="23"/>
        <v>3059.4696674685501</v>
      </c>
      <c r="G170" s="21">
        <f t="shared" si="23"/>
        <v>3079.8107924685501</v>
      </c>
      <c r="H170" s="21">
        <f t="shared" si="23"/>
        <v>3079.8107924685501</v>
      </c>
      <c r="I170" s="21">
        <f t="shared" si="23"/>
        <v>3158.6845424685494</v>
      </c>
      <c r="J170" s="21">
        <f t="shared" si="23"/>
        <v>3158.6845424685494</v>
      </c>
      <c r="K170" s="21">
        <f t="shared" si="23"/>
        <v>3158.6845424685494</v>
      </c>
      <c r="L170" s="21">
        <f t="shared" si="23"/>
        <v>3158.6845424685494</v>
      </c>
      <c r="M170" s="21">
        <f t="shared" si="23"/>
        <v>3158.6845424685494</v>
      </c>
      <c r="N170" s="52">
        <f>SUM(D170:M170)</f>
        <v>30101.74422441093</v>
      </c>
      <c r="R170" s="4" t="s">
        <v>221</v>
      </c>
      <c r="S170" s="9" t="s">
        <v>565</v>
      </c>
    </row>
    <row r="171" spans="2:19" ht="30" customHeight="1" x14ac:dyDescent="0.2">
      <c r="B171" s="35" t="s">
        <v>566</v>
      </c>
      <c r="C171" s="2" t="s">
        <v>567</v>
      </c>
      <c r="D171" s="26">
        <f>IF($D$21="Track 1",MIN(Defaults!$C$46,D$170),D$170)</f>
        <v>2050.1017171939843</v>
      </c>
      <c r="E171" s="26">
        <f>IF($D$21="Track 1",MIN(Defaults!$C$46,E$170),E$170)</f>
        <v>3039.1285424685498</v>
      </c>
      <c r="F171" s="26">
        <f>IF($D$21="Track 1",MIN(Defaults!$C$46,F$170),F$170)</f>
        <v>3059.4696674685501</v>
      </c>
      <c r="G171" s="26">
        <f>IF($D$21="Track 1",MIN(Defaults!$C$46,G$170),G$170)</f>
        <v>3079.8107924685501</v>
      </c>
      <c r="H171" s="26">
        <f>IF($D$21="Track 1",MIN(Defaults!$C$46,H$170),H$170)</f>
        <v>3079.8107924685501</v>
      </c>
      <c r="I171" s="26">
        <f>IF($D$21="Track 1",MIN(Defaults!$C$46,I$170),I$170)</f>
        <v>3158.6845424685494</v>
      </c>
      <c r="J171" s="26">
        <f>IF($D$21="Track 1",MIN(Defaults!$C$46,J$170),J$170)</f>
        <v>3158.6845424685494</v>
      </c>
      <c r="K171" s="26">
        <f>IF($D$21="Track 1",MIN(Defaults!$C$46,K$170),K$170)</f>
        <v>3158.6845424685494</v>
      </c>
      <c r="L171" s="26">
        <f>IF($D$21="Track 1",MIN(Defaults!$C$46,L$170),L$170)</f>
        <v>3158.6845424685494</v>
      </c>
      <c r="M171" s="26">
        <f>IF($D$21="Track 1",MIN(Defaults!$C$46,M$170),M$170)</f>
        <v>3158.6845424685494</v>
      </c>
      <c r="N171" s="26">
        <f>SUM(D171:M171)</f>
        <v>30101.74422441093</v>
      </c>
      <c r="R171" s="2" t="s">
        <v>221</v>
      </c>
      <c r="S171" s="27" t="s">
        <v>568</v>
      </c>
    </row>
    <row r="172" spans="2:19" ht="30" customHeight="1" x14ac:dyDescent="0.2">
      <c r="B172" s="6" t="s">
        <v>569</v>
      </c>
      <c r="C172" s="4"/>
      <c r="D172" s="21">
        <f t="shared" ref="D172:M172" si="24">D$170-D$171</f>
        <v>0</v>
      </c>
      <c r="E172" s="21">
        <f t="shared" si="24"/>
        <v>0</v>
      </c>
      <c r="F172" s="21">
        <f t="shared" si="24"/>
        <v>0</v>
      </c>
      <c r="G172" s="21">
        <f t="shared" si="24"/>
        <v>0</v>
      </c>
      <c r="H172" s="21">
        <f t="shared" si="24"/>
        <v>0</v>
      </c>
      <c r="I172" s="21">
        <f t="shared" si="24"/>
        <v>0</v>
      </c>
      <c r="J172" s="21">
        <f t="shared" si="24"/>
        <v>0</v>
      </c>
      <c r="K172" s="21">
        <f t="shared" si="24"/>
        <v>0</v>
      </c>
      <c r="L172" s="21">
        <f t="shared" si="24"/>
        <v>0</v>
      </c>
      <c r="M172" s="21">
        <f t="shared" si="24"/>
        <v>0</v>
      </c>
      <c r="N172" s="52">
        <f>SUM(D172:M172)</f>
        <v>0</v>
      </c>
      <c r="R172" s="4" t="s">
        <v>221</v>
      </c>
      <c r="S172" s="9" t="s">
        <v>240</v>
      </c>
    </row>
  </sheetData>
  <sheetProtection password="8666" sheet="1" formatColumns="0" formatRows="0"/>
  <mergeCells count="1">
    <mergeCell ref="B3:F3"/>
  </mergeCells>
  <pageMargins left="0.75" right="0.75" top="1" bottom="1" header="0.511811023622047" footer="0.511811023622047"/>
  <pageSetup paperSize="9" orientation="portrait" horizontalDpi="300" verticalDpi="300"/>
  <extLst>
    <ext xmlns:x14="http://schemas.microsoft.com/office/spreadsheetml/2009/9/main" uri="{CCE6A557-97BC-4b89-ADB6-D9C93CAAB3DF}">
      <x14:dataValidations xmlns:xm="http://schemas.microsoft.com/office/excel/2006/main" count="18">
        <x14:dataValidation type="list" xr:uid="{00000000-0002-0000-0700-000000000000}">
          <x14:formula1>
            <xm:f>Lists!$B$2:$B$4</xm:f>
          </x14:formula1>
          <x14:formula2>
            <xm:f>0</xm:f>
          </x14:formula2>
          <xm:sqref>D21</xm:sqref>
        </x14:dataValidation>
        <x14:dataValidation type="list" xr:uid="{00000000-0002-0000-0700-000001000000}">
          <x14:formula1>
            <xm:f>Lists!$C$2:$C$4</xm:f>
          </x14:formula1>
          <x14:formula2>
            <xm:f>0</xm:f>
          </x14:formula2>
          <xm:sqref>D22</xm:sqref>
        </x14:dataValidation>
        <x14:dataValidation type="list" xr:uid="{00000000-0002-0000-0700-000002000000}">
          <x14:formula1>
            <xm:f>Lists!$D$2:$D$7</xm:f>
          </x14:formula1>
          <x14:formula2>
            <xm:f>0</xm:f>
          </x14:formula2>
          <xm:sqref>D23</xm:sqref>
        </x14:dataValidation>
        <x14:dataValidation type="list" xr:uid="{00000000-0002-0000-0700-000003000000}">
          <x14:formula1>
            <xm:f>Lists!$J$2:$J$3</xm:f>
          </x14:formula1>
          <x14:formula2>
            <xm:f>0</xm:f>
          </x14:formula2>
          <xm:sqref>D30 D90 D55</xm:sqref>
        </x14:dataValidation>
        <x14:dataValidation type="list" xr:uid="{00000000-0002-0000-0700-000004000000}">
          <x14:formula1>
            <xm:f>Lists!$P$2:$P$3</xm:f>
          </x14:formula1>
          <x14:formula2>
            <xm:f>0</xm:f>
          </x14:formula2>
          <xm:sqref>D45</xm:sqref>
        </x14:dataValidation>
        <x14:dataValidation type="list" xr:uid="{00000000-0002-0000-0700-000005000000}">
          <x14:formula1>
            <xm:f>Defaults!$B$52:$B$57</xm:f>
          </x14:formula1>
          <x14:formula2>
            <xm:f>0</xm:f>
          </x14:formula2>
          <xm:sqref>D50</xm:sqref>
        </x14:dataValidation>
        <x14:dataValidation type="list" xr:uid="{00000000-0002-0000-0700-000006000000}">
          <x14:formula1>
            <xm:f>Lists!$I$2:$I$3</xm:f>
          </x14:formula1>
          <x14:formula2>
            <xm:f>0</xm:f>
          </x14:formula2>
          <xm:sqref>D51</xm:sqref>
        </x14:dataValidation>
        <x14:dataValidation type="list" xr:uid="{00000000-0002-0000-0700-000007000000}">
          <x14:formula1>
            <xm:f>Lists!$G$2:$G$4</xm:f>
          </x14:formula1>
          <x14:formula2>
            <xm:f>0</xm:f>
          </x14:formula2>
          <xm:sqref>D54</xm:sqref>
        </x14:dataValidation>
        <x14:dataValidation type="list" xr:uid="{00000000-0002-0000-0700-000009000000}">
          <x14:formula1>
            <xm:f>Defaults!$B$74:$B$79</xm:f>
          </x14:formula1>
          <x14:formula2>
            <xm:f>0</xm:f>
          </x14:formula2>
          <xm:sqref>D56</xm:sqref>
        </x14:dataValidation>
        <x14:dataValidation type="list" xr:uid="{00000000-0002-0000-0700-00000A000000}">
          <x14:formula1>
            <xm:f>Lists!$L$2:$L$4</xm:f>
          </x14:formula1>
          <x14:formula2>
            <xm:f>0</xm:f>
          </x14:formula2>
          <xm:sqref>D58</xm:sqref>
        </x14:dataValidation>
        <x14:dataValidation type="list" xr:uid="{00000000-0002-0000-0700-00000B000000}">
          <x14:formula1>
            <xm:f>Lists!$O$2:$O$5</xm:f>
          </x14:formula1>
          <x14:formula2>
            <xm:f>0</xm:f>
          </x14:formula2>
          <xm:sqref>D61</xm:sqref>
        </x14:dataValidation>
        <x14:dataValidation type="list" xr:uid="{00000000-0002-0000-0700-00000C000000}">
          <x14:formula1>
            <xm:f>Lists!$Q$2:$Q$4</xm:f>
          </x14:formula1>
          <x14:formula2>
            <xm:f>0</xm:f>
          </x14:formula2>
          <xm:sqref>D69</xm:sqref>
        </x14:dataValidation>
        <x14:dataValidation type="list" xr:uid="{00000000-0002-0000-0700-00000D000000}">
          <x14:formula1>
            <xm:f>Lists!$K$2:$K$3</xm:f>
          </x14:formula1>
          <x14:formula2>
            <xm:f>0</xm:f>
          </x14:formula2>
          <xm:sqref>D74</xm:sqref>
        </x14:dataValidation>
        <x14:dataValidation type="list" xr:uid="{00000000-0002-0000-0700-00000E000000}">
          <x14:formula1>
            <xm:f>Lists!$E$2:$E$3</xm:f>
          </x14:formula1>
          <x14:formula2>
            <xm:f>0</xm:f>
          </x14:formula2>
          <xm:sqref>D77</xm:sqref>
        </x14:dataValidation>
        <x14:dataValidation type="list" xr:uid="{00000000-0002-0000-0700-00000F000000}">
          <x14:formula1>
            <xm:f>Lists!$F$2:$F$4</xm:f>
          </x14:formula1>
          <x14:formula2>
            <xm:f>0</xm:f>
          </x14:formula2>
          <xm:sqref>D84</xm:sqref>
        </x14:dataValidation>
        <x14:dataValidation type="list" xr:uid="{00000000-0002-0000-0700-000010000000}">
          <x14:formula1>
            <xm:f>Defaults!$B$67:$B$70</xm:f>
          </x14:formula1>
          <x14:formula2>
            <xm:f>0</xm:f>
          </x14:formula2>
          <xm:sqref>D89</xm:sqref>
        </x14:dataValidation>
        <x14:dataValidation type="list" xr:uid="{00000000-0002-0000-0700-000012000000}">
          <x14:formula1>
            <xm:f>Lists!$H$2:$H$5</xm:f>
          </x14:formula1>
          <x14:formula2>
            <xm:f>0</xm:f>
          </x14:formula2>
          <xm:sqref>D97</xm:sqref>
        </x14:dataValidation>
        <x14:dataValidation type="list" xr:uid="{00000000-0002-0000-0700-000013000000}">
          <x14:formula1>
            <xm:f>Lists!$N$2:$N$3</xm:f>
          </x14:formula1>
          <x14:formula2>
            <xm:f>0</xm:f>
          </x14:formula2>
          <xm:sqref>D104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S172"/>
  <sheetViews>
    <sheetView showGridLines="0" zoomScaleNormal="100" workbookViewId="0">
      <pane xSplit="2" ySplit="4" topLeftCell="C5" activePane="bottomRight" state="frozen"/>
      <selection pane="topRight" activeCell="C1" sqref="C1"/>
      <selection pane="bottomLeft" activeCell="A5" sqref="A5"/>
      <selection pane="bottomRight"/>
    </sheetView>
  </sheetViews>
  <sheetFormatPr baseColWidth="10" defaultColWidth="8.5" defaultRowHeight="15" x14ac:dyDescent="0.2"/>
  <cols>
    <col min="1" max="1" width="3.1640625" customWidth="1"/>
    <col min="2" max="2" width="64" customWidth="1"/>
    <col min="3" max="3" width="22" customWidth="1"/>
    <col min="4" max="14" width="13" customWidth="1"/>
    <col min="18" max="18" width="16" customWidth="1"/>
    <col min="19" max="19" width="40" customWidth="1"/>
  </cols>
  <sheetData>
    <row r="1" spans="2:6" ht="25.5" customHeight="1" x14ac:dyDescent="0.25">
      <c r="B1" s="14" t="s">
        <v>586</v>
      </c>
    </row>
    <row r="2" spans="2:6" ht="16" x14ac:dyDescent="0.2">
      <c r="B2" s="9" t="s">
        <v>212</v>
      </c>
    </row>
    <row r="3" spans="2:6" ht="109.5" customHeight="1" x14ac:dyDescent="0.2">
      <c r="B3" s="80" t="s">
        <v>587</v>
      </c>
      <c r="C3" s="80"/>
      <c r="D3" s="80"/>
      <c r="E3" s="80"/>
      <c r="F3" s="80"/>
    </row>
    <row r="5" spans="2:6" ht="16" x14ac:dyDescent="0.2">
      <c r="B5" s="10" t="s">
        <v>214</v>
      </c>
      <c r="C5" s="11"/>
      <c r="D5" s="11"/>
      <c r="E5" s="11"/>
      <c r="F5" s="11"/>
    </row>
    <row r="6" spans="2:6" ht="16" x14ac:dyDescent="0.2">
      <c r="B6" s="12" t="s">
        <v>215</v>
      </c>
      <c r="C6" s="12" t="s">
        <v>216</v>
      </c>
      <c r="D6" s="12" t="s">
        <v>217</v>
      </c>
      <c r="E6" s="12" t="s">
        <v>218</v>
      </c>
      <c r="F6" s="12" t="s">
        <v>219</v>
      </c>
    </row>
    <row r="7" spans="2:6" ht="16" x14ac:dyDescent="0.2">
      <c r="B7" s="2" t="s">
        <v>220</v>
      </c>
      <c r="C7" s="25"/>
      <c r="D7" s="26">
        <f>$N$171</f>
        <v>386657.00250583119</v>
      </c>
      <c r="E7" s="2" t="s">
        <v>221</v>
      </c>
      <c r="F7" s="27" t="s">
        <v>222</v>
      </c>
    </row>
    <row r="8" spans="2:6" ht="16" x14ac:dyDescent="0.2">
      <c r="B8" s="2" t="s">
        <v>223</v>
      </c>
      <c r="C8" s="25"/>
      <c r="D8" s="22">
        <f>IF($N$136&gt;0,$N$171/$N$136,0)</f>
        <v>2.0387065270425251</v>
      </c>
      <c r="E8" s="2" t="s">
        <v>224</v>
      </c>
      <c r="F8" s="27"/>
    </row>
    <row r="9" spans="2:6" ht="16" x14ac:dyDescent="0.2">
      <c r="B9" s="2" t="s">
        <v>225</v>
      </c>
      <c r="C9" s="25"/>
      <c r="D9" s="26">
        <f>$N$136</f>
        <v>189658</v>
      </c>
      <c r="E9" s="2" t="s">
        <v>226</v>
      </c>
      <c r="F9" s="27" t="s">
        <v>124</v>
      </c>
    </row>
    <row r="10" spans="2:6" ht="16" x14ac:dyDescent="0.2">
      <c r="B10" s="2" t="s">
        <v>227</v>
      </c>
      <c r="C10" s="25"/>
      <c r="D10" s="26">
        <f>$N$140</f>
        <v>430607.00585994252</v>
      </c>
      <c r="E10" s="2" t="s">
        <v>221</v>
      </c>
      <c r="F10" s="27" t="s">
        <v>121</v>
      </c>
    </row>
    <row r="11" spans="2:6" ht="16" x14ac:dyDescent="0.2">
      <c r="B11" s="2" t="s">
        <v>228</v>
      </c>
      <c r="C11" s="25"/>
      <c r="D11" s="26">
        <f>$N$151</f>
        <v>21417.895617599996</v>
      </c>
      <c r="E11" s="2" t="s">
        <v>221</v>
      </c>
      <c r="F11" s="27" t="s">
        <v>134</v>
      </c>
    </row>
    <row r="12" spans="2:6" ht="16" x14ac:dyDescent="0.2">
      <c r="B12" s="2" t="s">
        <v>229</v>
      </c>
      <c r="C12" s="25"/>
      <c r="D12" s="26">
        <f>$N$159</f>
        <v>3250</v>
      </c>
      <c r="E12" s="2" t="s">
        <v>221</v>
      </c>
      <c r="F12" s="27" t="s">
        <v>230</v>
      </c>
    </row>
    <row r="13" spans="2:6" ht="16" x14ac:dyDescent="0.2">
      <c r="B13" s="2" t="s">
        <v>231</v>
      </c>
      <c r="C13" s="25"/>
      <c r="D13" s="26">
        <f>$N$168</f>
        <v>14207.868858481983</v>
      </c>
      <c r="E13" s="2" t="s">
        <v>221</v>
      </c>
      <c r="F13" s="27" t="s">
        <v>232</v>
      </c>
    </row>
    <row r="14" spans="2:6" ht="16" x14ac:dyDescent="0.2">
      <c r="B14" s="2" t="s">
        <v>233</v>
      </c>
      <c r="C14" s="25"/>
      <c r="D14" s="26">
        <f>$N$169</f>
        <v>5074.2388780292813</v>
      </c>
      <c r="E14" s="2" t="s">
        <v>221</v>
      </c>
      <c r="F14" s="27" t="s">
        <v>234</v>
      </c>
    </row>
    <row r="15" spans="2:6" ht="16" x14ac:dyDescent="0.2">
      <c r="B15" s="2" t="s">
        <v>235</v>
      </c>
      <c r="C15" s="25"/>
      <c r="D15" s="28">
        <f>$N$167</f>
        <v>0</v>
      </c>
      <c r="E15" s="2" t="s">
        <v>236</v>
      </c>
      <c r="F15" s="27" t="s">
        <v>163</v>
      </c>
    </row>
    <row r="16" spans="2:6" ht="16" x14ac:dyDescent="0.2">
      <c r="B16" s="2" t="s">
        <v>237</v>
      </c>
      <c r="C16" s="25"/>
      <c r="D16" s="28">
        <f>COUNTIF(D165:M165,"&lt;0")</f>
        <v>0</v>
      </c>
      <c r="E16" s="2" t="s">
        <v>236</v>
      </c>
      <c r="F16" s="27" t="s">
        <v>238</v>
      </c>
    </row>
    <row r="17" spans="2:6" ht="16" x14ac:dyDescent="0.2">
      <c r="B17" s="2" t="s">
        <v>239</v>
      </c>
      <c r="C17" s="25"/>
      <c r="D17" s="26">
        <f>$N$172</f>
        <v>0</v>
      </c>
      <c r="E17" s="2" t="s">
        <v>221</v>
      </c>
      <c r="F17" s="27" t="s">
        <v>240</v>
      </c>
    </row>
    <row r="18" spans="2:6" ht="16" x14ac:dyDescent="0.2">
      <c r="B18" s="2" t="s">
        <v>241</v>
      </c>
      <c r="C18" s="25"/>
      <c r="D18" s="29" t="str">
        <f>IF(AND($D$83&lt;&gt;"Not creditable under Method 1 (H:Corg above 0.50)",$D$83&lt;&gt;"Track 1 default-route limit 0.40 exceeded — test the batch",$D$60&lt;&gt;"Below the 70% floor — residue not eligible",$D$93&lt;&gt;"Above the 50 t/ha cap",COUNTIF(D138:M138,"Above ceiling")=0,$D$110="OK"),"OK","Check Parts A to F: "&amp;$D$83&amp;"; "&amp;$D$60&amp;"; "&amp;$D$93&amp;"; mass-balance flags "&amp;COUNTIF(D138:M138,"Above ceiling")&amp;"; "&amp;$D$110)</f>
        <v>OK</v>
      </c>
      <c r="E18" s="2"/>
      <c r="F18" s="27"/>
    </row>
    <row r="19" spans="2:6" ht="16" x14ac:dyDescent="0.2">
      <c r="B19" s="10" t="s">
        <v>242</v>
      </c>
      <c r="C19" s="11"/>
      <c r="D19" s="11"/>
      <c r="E19" s="11"/>
      <c r="F19" s="11"/>
    </row>
    <row r="20" spans="2:6" ht="16" x14ac:dyDescent="0.2">
      <c r="B20" s="12" t="s">
        <v>215</v>
      </c>
      <c r="C20" s="12" t="s">
        <v>216</v>
      </c>
      <c r="D20" s="12" t="s">
        <v>217</v>
      </c>
      <c r="E20" s="12" t="s">
        <v>218</v>
      </c>
      <c r="F20" s="12" t="s">
        <v>219</v>
      </c>
    </row>
    <row r="21" spans="2:6" ht="51" x14ac:dyDescent="0.2">
      <c r="B21" s="6" t="s">
        <v>243</v>
      </c>
      <c r="C21" s="4"/>
      <c r="D21" s="30" t="s">
        <v>588</v>
      </c>
      <c r="E21" s="4"/>
      <c r="F21" s="1" t="s">
        <v>245</v>
      </c>
    </row>
    <row r="22" spans="2:6" ht="17" x14ac:dyDescent="0.2">
      <c r="B22" s="6" t="s">
        <v>179</v>
      </c>
      <c r="C22" s="4"/>
      <c r="D22" s="30" t="s">
        <v>246</v>
      </c>
      <c r="E22" s="4"/>
      <c r="F22" s="1" t="s">
        <v>247</v>
      </c>
    </row>
    <row r="23" spans="2:6" ht="17" x14ac:dyDescent="0.2">
      <c r="B23" s="6" t="s">
        <v>180</v>
      </c>
      <c r="C23" s="4"/>
      <c r="D23" s="30" t="s">
        <v>578</v>
      </c>
      <c r="E23" s="4"/>
      <c r="F23" s="1" t="s">
        <v>249</v>
      </c>
    </row>
    <row r="24" spans="2:6" ht="17" x14ac:dyDescent="0.2">
      <c r="B24" s="6" t="s">
        <v>250</v>
      </c>
      <c r="C24" s="4"/>
      <c r="D24" s="30" t="s">
        <v>589</v>
      </c>
      <c r="E24" s="4"/>
      <c r="F24" s="1" t="s">
        <v>240</v>
      </c>
    </row>
    <row r="25" spans="2:6" ht="30" customHeight="1" x14ac:dyDescent="0.2">
      <c r="B25" s="6" t="s">
        <v>252</v>
      </c>
      <c r="C25" s="4"/>
      <c r="D25" s="30">
        <v>5</v>
      </c>
      <c r="E25" s="4" t="s">
        <v>253</v>
      </c>
      <c r="F25" s="1" t="s">
        <v>254</v>
      </c>
    </row>
    <row r="26" spans="2:6" ht="45" customHeight="1" x14ac:dyDescent="0.2">
      <c r="B26" s="6" t="s">
        <v>255</v>
      </c>
      <c r="C26" s="4" t="s">
        <v>256</v>
      </c>
      <c r="D26" s="30">
        <v>20</v>
      </c>
      <c r="E26" s="4" t="s">
        <v>257</v>
      </c>
      <c r="F26" s="1" t="s">
        <v>258</v>
      </c>
    </row>
    <row r="27" spans="2:6" ht="30" customHeight="1" x14ac:dyDescent="0.2">
      <c r="B27" s="6" t="s">
        <v>259</v>
      </c>
      <c r="C27" s="4" t="s">
        <v>256</v>
      </c>
      <c r="D27" s="4">
        <f>ROUND(MIN(Defaults!$C$16,MAX(Defaults!$C$15,CEILING(IF(ISNUMBER($D$26),$D$26,Defaults!$C$14),1))),0)</f>
        <v>20</v>
      </c>
      <c r="E27" s="4" t="s">
        <v>257</v>
      </c>
      <c r="F27" s="1" t="s">
        <v>260</v>
      </c>
    </row>
    <row r="28" spans="2:6" ht="45" customHeight="1" x14ac:dyDescent="0.2">
      <c r="B28" s="6" t="s">
        <v>261</v>
      </c>
      <c r="C28" s="4" t="s">
        <v>262</v>
      </c>
      <c r="D28" s="31">
        <f>Defaults!$C$47</f>
        <v>1.2500000000000001E-2</v>
      </c>
      <c r="E28" s="4" t="s">
        <v>263</v>
      </c>
      <c r="F28" s="1" t="s">
        <v>264</v>
      </c>
    </row>
    <row r="29" spans="2:6" ht="17" x14ac:dyDescent="0.2">
      <c r="B29" s="6" t="s">
        <v>265</v>
      </c>
      <c r="C29" s="4" t="s">
        <v>266</v>
      </c>
      <c r="D29" s="3">
        <f>Defaults!$C$4</f>
        <v>28</v>
      </c>
      <c r="E29" s="4" t="s">
        <v>267</v>
      </c>
      <c r="F29" s="1" t="s">
        <v>268</v>
      </c>
    </row>
    <row r="30" spans="2:6" ht="45" customHeight="1" x14ac:dyDescent="0.2">
      <c r="B30" s="6" t="s">
        <v>269</v>
      </c>
      <c r="C30" s="4"/>
      <c r="D30" s="30" t="s">
        <v>270</v>
      </c>
      <c r="E30" s="4"/>
      <c r="F30" s="1" t="s">
        <v>271</v>
      </c>
    </row>
    <row r="31" spans="2:6" ht="30" customHeight="1" x14ac:dyDescent="0.2">
      <c r="B31" s="6" t="s">
        <v>272</v>
      </c>
      <c r="C31" s="4" t="s">
        <v>273</v>
      </c>
      <c r="D31" s="32">
        <v>5.0000000000000001E-3</v>
      </c>
      <c r="E31" s="4" t="s">
        <v>263</v>
      </c>
      <c r="F31" s="1" t="s">
        <v>274</v>
      </c>
    </row>
    <row r="32" spans="2:6" ht="51" x14ac:dyDescent="0.2">
      <c r="B32" s="6" t="s">
        <v>275</v>
      </c>
      <c r="C32" s="4" t="s">
        <v>276</v>
      </c>
      <c r="D32" s="32">
        <v>0.01</v>
      </c>
      <c r="E32" s="4" t="s">
        <v>263</v>
      </c>
      <c r="F32" s="1" t="s">
        <v>277</v>
      </c>
    </row>
    <row r="33" spans="2:6" ht="30" customHeight="1" x14ac:dyDescent="0.2">
      <c r="B33" s="6" t="s">
        <v>278</v>
      </c>
      <c r="C33" s="4" t="s">
        <v>279</v>
      </c>
      <c r="D33" s="32">
        <v>1.2E-2</v>
      </c>
      <c r="E33" s="4" t="s">
        <v>263</v>
      </c>
      <c r="F33" s="1" t="s">
        <v>280</v>
      </c>
    </row>
    <row r="34" spans="2:6" ht="17" x14ac:dyDescent="0.2">
      <c r="B34" s="6" t="s">
        <v>281</v>
      </c>
      <c r="C34" s="4" t="s">
        <v>282</v>
      </c>
      <c r="D34" s="20">
        <f>SQRT($D$31^2+$D$32^2+$D$33^2)</f>
        <v>1.6401219466856725E-2</v>
      </c>
      <c r="E34" s="4" t="s">
        <v>263</v>
      </c>
      <c r="F34" s="1" t="s">
        <v>283</v>
      </c>
    </row>
    <row r="35" spans="2:6" ht="30" customHeight="1" x14ac:dyDescent="0.2">
      <c r="B35" s="6" t="s">
        <v>284</v>
      </c>
      <c r="C35" s="4" t="s">
        <v>282</v>
      </c>
      <c r="D35" s="32">
        <v>7.0000000000000007E-2</v>
      </c>
      <c r="E35" s="4" t="s">
        <v>263</v>
      </c>
      <c r="F35" s="1" t="s">
        <v>285</v>
      </c>
    </row>
    <row r="36" spans="2:6" ht="51" x14ac:dyDescent="0.2">
      <c r="B36" s="6" t="s">
        <v>286</v>
      </c>
      <c r="C36" s="4" t="s">
        <v>287</v>
      </c>
      <c r="D36" s="20">
        <f>IF($D$21="Track 1",Defaults!$C$7,IF($D$21="Track 2",IF($D$30="Yes",MAX(0,$D$34-Defaults!$C$9),Defaults!$C$8),MAX(0,$D$34-Defaults!$C$9)))</f>
        <v>6.4012194668567248E-3</v>
      </c>
      <c r="E36" s="4" t="s">
        <v>263</v>
      </c>
      <c r="F36" s="1" t="s">
        <v>288</v>
      </c>
    </row>
    <row r="37" spans="2:6" ht="34" x14ac:dyDescent="0.2">
      <c r="B37" s="6" t="s">
        <v>289</v>
      </c>
      <c r="C37" s="4" t="s">
        <v>290</v>
      </c>
      <c r="D37" s="20">
        <f>IF($D$21="Track 1",Defaults!$C$7,IF($D$21="Track 2",Defaults!$C$8,MAX(0,$D$35-Defaults!$C$10)))</f>
        <v>2.0000000000000004E-2</v>
      </c>
      <c r="E37" s="4" t="s">
        <v>263</v>
      </c>
      <c r="F37" s="1" t="s">
        <v>291</v>
      </c>
    </row>
    <row r="38" spans="2:6" ht="30" customHeight="1" x14ac:dyDescent="0.2">
      <c r="B38" s="6" t="s">
        <v>292</v>
      </c>
      <c r="C38" s="4" t="s">
        <v>293</v>
      </c>
      <c r="D38" s="33">
        <v>0</v>
      </c>
      <c r="E38" s="4" t="s">
        <v>263</v>
      </c>
      <c r="F38" s="1" t="s">
        <v>294</v>
      </c>
    </row>
    <row r="40" spans="2:6" ht="16" x14ac:dyDescent="0.2">
      <c r="B40" s="10" t="s">
        <v>295</v>
      </c>
      <c r="C40" s="11"/>
      <c r="D40" s="11"/>
      <c r="E40" s="11"/>
      <c r="F40" s="11"/>
    </row>
    <row r="41" spans="2:6" ht="16" x14ac:dyDescent="0.2">
      <c r="B41" s="12" t="s">
        <v>215</v>
      </c>
      <c r="C41" s="12" t="s">
        <v>216</v>
      </c>
      <c r="D41" s="12" t="s">
        <v>217</v>
      </c>
      <c r="E41" s="12" t="s">
        <v>218</v>
      </c>
      <c r="F41" s="12" t="s">
        <v>219</v>
      </c>
    </row>
    <row r="42" spans="2:6" ht="30" customHeight="1" x14ac:dyDescent="0.2">
      <c r="B42" s="6" t="s">
        <v>296</v>
      </c>
      <c r="C42" s="4"/>
      <c r="D42" s="34">
        <f>'Annex 7'!H20</f>
        <v>0.02</v>
      </c>
      <c r="E42" s="4" t="s">
        <v>263</v>
      </c>
      <c r="F42" s="1" t="s">
        <v>297</v>
      </c>
    </row>
    <row r="43" spans="2:6" ht="30" customHeight="1" x14ac:dyDescent="0.2">
      <c r="B43" s="6" t="s">
        <v>298</v>
      </c>
      <c r="C43" s="4"/>
      <c r="D43" s="34">
        <f>'Annex 7'!H21</f>
        <v>6.0000000000000005E-2</v>
      </c>
      <c r="E43" s="4" t="s">
        <v>263</v>
      </c>
      <c r="F43" s="1" t="s">
        <v>299</v>
      </c>
    </row>
    <row r="44" spans="2:6" ht="30" customHeight="1" x14ac:dyDescent="0.2">
      <c r="B44" s="6" t="s">
        <v>300</v>
      </c>
      <c r="C44" s="4" t="s">
        <v>301</v>
      </c>
      <c r="D44" s="34">
        <f>'Annex 7'!H23</f>
        <v>3.4999999999999996E-2</v>
      </c>
      <c r="E44" s="4" t="s">
        <v>263</v>
      </c>
      <c r="F44" s="1" t="s">
        <v>302</v>
      </c>
    </row>
    <row r="45" spans="2:6" ht="45" customHeight="1" x14ac:dyDescent="0.2">
      <c r="B45" s="6" t="s">
        <v>303</v>
      </c>
      <c r="C45" s="4"/>
      <c r="D45" s="30" t="s">
        <v>304</v>
      </c>
      <c r="E45" s="4"/>
      <c r="F45" s="1" t="s">
        <v>305</v>
      </c>
    </row>
    <row r="46" spans="2:6" ht="45" customHeight="1" x14ac:dyDescent="0.2">
      <c r="B46" s="35" t="s">
        <v>187</v>
      </c>
      <c r="C46" s="2" t="s">
        <v>301</v>
      </c>
      <c r="D46" s="24">
        <f>IF(LEFT($D$22,2)="A2",Defaults!$C$28,IF(LEFT($D$22,2)="A3",Defaults!$C$29,IF(OR($D$21="Track 1",AND($D$21="Track 2",LEFT($D$45,12)="Cancellation")),Defaults!$C$27,$D$44)))</f>
        <v>3.4999999999999996E-2</v>
      </c>
      <c r="E46" s="2" t="s">
        <v>263</v>
      </c>
      <c r="F46" s="36" t="s">
        <v>306</v>
      </c>
    </row>
    <row r="48" spans="2:6" ht="16" x14ac:dyDescent="0.2">
      <c r="B48" s="10" t="s">
        <v>307</v>
      </c>
      <c r="C48" s="11"/>
      <c r="D48" s="11"/>
      <c r="E48" s="11"/>
      <c r="F48" s="11"/>
    </row>
    <row r="49" spans="2:6" ht="16" x14ac:dyDescent="0.2">
      <c r="B49" s="12" t="s">
        <v>215</v>
      </c>
      <c r="C49" s="12" t="s">
        <v>216</v>
      </c>
      <c r="D49" s="12" t="s">
        <v>217</v>
      </c>
      <c r="E49" s="12" t="s">
        <v>218</v>
      </c>
      <c r="F49" s="12" t="s">
        <v>219</v>
      </c>
    </row>
    <row r="50" spans="2:6" ht="17" x14ac:dyDescent="0.2">
      <c r="B50" s="6" t="s">
        <v>308</v>
      </c>
      <c r="C50" s="4"/>
      <c r="D50" s="30" t="s">
        <v>309</v>
      </c>
      <c r="E50" s="4"/>
      <c r="F50" s="1" t="s">
        <v>310</v>
      </c>
    </row>
    <row r="51" spans="2:6" ht="30" customHeight="1" x14ac:dyDescent="0.2">
      <c r="B51" s="6" t="s">
        <v>311</v>
      </c>
      <c r="C51" s="4"/>
      <c r="D51" s="30" t="s">
        <v>581</v>
      </c>
      <c r="E51" s="4"/>
      <c r="F51" s="1" t="s">
        <v>313</v>
      </c>
    </row>
    <row r="52" spans="2:6" ht="34" x14ac:dyDescent="0.2">
      <c r="B52" s="6" t="s">
        <v>314</v>
      </c>
      <c r="C52" s="4" t="s">
        <v>315</v>
      </c>
      <c r="D52" s="37">
        <f>INDEX(Defaults!$D$52:$D$57,MATCH($D$50,Defaults!$B$52:$B$57,0))</f>
        <v>0.15</v>
      </c>
      <c r="E52" s="4" t="s">
        <v>316</v>
      </c>
      <c r="F52" s="1" t="s">
        <v>317</v>
      </c>
    </row>
    <row r="53" spans="2:6" ht="30" customHeight="1" x14ac:dyDescent="0.2">
      <c r="B53" s="6" t="s">
        <v>318</v>
      </c>
      <c r="C53" s="4" t="s">
        <v>319</v>
      </c>
      <c r="D53" s="37">
        <f>INDEX(Defaults!$E$52:$E$57,MATCH($D$50,Defaults!$B$52:$B$57,0))</f>
        <v>0.32</v>
      </c>
      <c r="E53" s="4" t="s">
        <v>320</v>
      </c>
      <c r="F53" s="1" t="s">
        <v>317</v>
      </c>
    </row>
    <row r="54" spans="2:6" ht="51" x14ac:dyDescent="0.2">
      <c r="B54" s="6" t="s">
        <v>321</v>
      </c>
      <c r="C54" s="4"/>
      <c r="D54" s="30" t="s">
        <v>322</v>
      </c>
      <c r="E54" s="4"/>
      <c r="F54" s="1" t="s">
        <v>323</v>
      </c>
    </row>
    <row r="55" spans="2:6" ht="34" x14ac:dyDescent="0.2">
      <c r="B55" s="6" t="s">
        <v>324</v>
      </c>
      <c r="C55" s="4"/>
      <c r="D55" s="30" t="s">
        <v>325</v>
      </c>
      <c r="E55" s="4"/>
      <c r="F55" s="1" t="s">
        <v>326</v>
      </c>
    </row>
    <row r="56" spans="2:6" ht="51" x14ac:dyDescent="0.2">
      <c r="B56" s="6" t="s">
        <v>327</v>
      </c>
      <c r="C56" s="4"/>
      <c r="D56" s="30" t="s">
        <v>328</v>
      </c>
      <c r="E56" s="4"/>
      <c r="F56" s="1" t="s">
        <v>329</v>
      </c>
    </row>
    <row r="57" spans="2:6" ht="30" customHeight="1" x14ac:dyDescent="0.2">
      <c r="B57" s="6" t="s">
        <v>330</v>
      </c>
      <c r="C57" s="4" t="s">
        <v>331</v>
      </c>
      <c r="D57" s="38">
        <v>0</v>
      </c>
      <c r="E57" s="4" t="s">
        <v>332</v>
      </c>
      <c r="F57" s="1" t="s">
        <v>333</v>
      </c>
    </row>
    <row r="58" spans="2:6" ht="45" customHeight="1" x14ac:dyDescent="0.2">
      <c r="B58" s="6" t="s">
        <v>334</v>
      </c>
      <c r="C58" s="4"/>
      <c r="D58" s="30" t="s">
        <v>335</v>
      </c>
      <c r="E58" s="4"/>
      <c r="F58" s="1" t="s">
        <v>336</v>
      </c>
    </row>
    <row r="59" spans="2:6" ht="30" customHeight="1" x14ac:dyDescent="0.2">
      <c r="B59" s="6" t="s">
        <v>337</v>
      </c>
      <c r="C59" s="4"/>
      <c r="D59" s="33">
        <v>0.7</v>
      </c>
      <c r="E59" s="4" t="s">
        <v>263</v>
      </c>
      <c r="F59" s="1" t="s">
        <v>338</v>
      </c>
    </row>
    <row r="60" spans="2:6" ht="34" x14ac:dyDescent="0.2">
      <c r="B60" s="6" t="s">
        <v>339</v>
      </c>
      <c r="C60" s="4"/>
      <c r="D60" s="4" t="str">
        <f>IF(LEFT($D$23,2)="F1",IF($D$59&lt;Defaults!$C$45,"Below the 70% floor — residue not eligible","OK"),"n/a")</f>
        <v>n/a</v>
      </c>
      <c r="E60" s="4"/>
      <c r="F60" s="1" t="s">
        <v>340</v>
      </c>
    </row>
    <row r="61" spans="2:6" ht="68" x14ac:dyDescent="0.2">
      <c r="B61" s="6" t="s">
        <v>341</v>
      </c>
      <c r="C61" s="4"/>
      <c r="D61" s="30" t="s">
        <v>342</v>
      </c>
      <c r="E61" s="4"/>
      <c r="F61" s="1" t="s">
        <v>343</v>
      </c>
    </row>
    <row r="62" spans="2:6" ht="34" x14ac:dyDescent="0.2">
      <c r="B62" s="6" t="s">
        <v>344</v>
      </c>
      <c r="C62" s="4" t="s">
        <v>345</v>
      </c>
      <c r="D62" s="39">
        <v>0</v>
      </c>
      <c r="E62" s="4" t="s">
        <v>346</v>
      </c>
      <c r="F62" s="1" t="s">
        <v>347</v>
      </c>
    </row>
    <row r="63" spans="2:6" ht="34" x14ac:dyDescent="0.2">
      <c r="B63" s="6" t="s">
        <v>348</v>
      </c>
      <c r="C63" s="4" t="s">
        <v>349</v>
      </c>
      <c r="D63" s="40">
        <v>0</v>
      </c>
      <c r="E63" s="4" t="s">
        <v>350</v>
      </c>
      <c r="F63" s="1" t="s">
        <v>347</v>
      </c>
    </row>
    <row r="64" spans="2:6" ht="34" x14ac:dyDescent="0.2">
      <c r="B64" s="6" t="s">
        <v>351</v>
      </c>
      <c r="C64" s="4" t="s">
        <v>352</v>
      </c>
      <c r="D64" s="40">
        <v>0</v>
      </c>
      <c r="E64" s="4" t="s">
        <v>350</v>
      </c>
      <c r="F64" s="1" t="s">
        <v>347</v>
      </c>
    </row>
    <row r="65" spans="2:6" ht="17" x14ac:dyDescent="0.2">
      <c r="B65" s="6" t="s">
        <v>353</v>
      </c>
      <c r="C65" s="4" t="s">
        <v>345</v>
      </c>
      <c r="D65" s="41">
        <f>IF(LEFT($D$61,8)="Measured",$D$62,IF(RIGHT($D$61,6)="stover",Defaults!$C$34,IF(RIGHT($D$61,8)="residues",Defaults!$C$37,Defaults!$C$40)))</f>
        <v>8.0000000000000002E-3</v>
      </c>
      <c r="E65" s="4" t="s">
        <v>346</v>
      </c>
      <c r="F65" s="1" t="s">
        <v>154</v>
      </c>
    </row>
    <row r="66" spans="2:6" ht="17" x14ac:dyDescent="0.2">
      <c r="B66" s="6" t="s">
        <v>354</v>
      </c>
      <c r="C66" s="4" t="s">
        <v>349</v>
      </c>
      <c r="D66" s="42">
        <f>IF(LEFT($D$61,8)="Measured",$D$63,IF(RIGHT($D$61,6)="stover",Defaults!$C$35,IF(RIGHT($D$61,8)="residues",Defaults!$C$38,Defaults!$C$41)))</f>
        <v>3.0000000000000001E-3</v>
      </c>
      <c r="E66" s="4" t="s">
        <v>350</v>
      </c>
      <c r="F66" s="1" t="s">
        <v>154</v>
      </c>
    </row>
    <row r="67" spans="2:6" ht="17" x14ac:dyDescent="0.2">
      <c r="B67" s="6" t="s">
        <v>355</v>
      </c>
      <c r="C67" s="4" t="s">
        <v>352</v>
      </c>
      <c r="D67" s="42">
        <f>IF(LEFT($D$61,8)="Measured",$D$64,IF(RIGHT($D$61,6)="stover",Defaults!$C$36,IF(RIGHT($D$61,8)="residues",Defaults!$C$39,Defaults!$C$42)))</f>
        <v>1.4999999999999999E-2</v>
      </c>
      <c r="E67" s="4" t="s">
        <v>350</v>
      </c>
      <c r="F67" s="1" t="s">
        <v>154</v>
      </c>
    </row>
    <row r="68" spans="2:6" ht="30" customHeight="1" x14ac:dyDescent="0.2">
      <c r="B68" s="6" t="s">
        <v>356</v>
      </c>
      <c r="C68" s="4"/>
      <c r="D68" s="33">
        <v>0</v>
      </c>
      <c r="E68" s="4" t="s">
        <v>263</v>
      </c>
      <c r="F68" s="1" t="s">
        <v>357</v>
      </c>
    </row>
    <row r="69" spans="2:6" ht="45" customHeight="1" x14ac:dyDescent="0.2">
      <c r="B69" s="6" t="s">
        <v>358</v>
      </c>
      <c r="C69" s="4"/>
      <c r="D69" s="30" t="s">
        <v>359</v>
      </c>
      <c r="E69" s="4"/>
      <c r="F69" s="1" t="s">
        <v>360</v>
      </c>
    </row>
    <row r="70" spans="2:6" ht="17" x14ac:dyDescent="0.2">
      <c r="B70" s="6" t="s">
        <v>361</v>
      </c>
      <c r="C70" s="4" t="s">
        <v>362</v>
      </c>
      <c r="D70" s="38">
        <v>0.45</v>
      </c>
      <c r="E70" s="4" t="s">
        <v>363</v>
      </c>
      <c r="F70" s="1" t="s">
        <v>137</v>
      </c>
    </row>
    <row r="72" spans="2:6" ht="16" x14ac:dyDescent="0.2">
      <c r="B72" s="10" t="s">
        <v>364</v>
      </c>
      <c r="C72" s="11"/>
      <c r="D72" s="11"/>
      <c r="E72" s="11"/>
      <c r="F72" s="11"/>
    </row>
    <row r="73" spans="2:6" ht="16" x14ac:dyDescent="0.2">
      <c r="B73" s="12" t="s">
        <v>215</v>
      </c>
      <c r="C73" s="12" t="s">
        <v>216</v>
      </c>
      <c r="D73" s="12" t="s">
        <v>217</v>
      </c>
      <c r="E73" s="12" t="s">
        <v>218</v>
      </c>
      <c r="F73" s="12" t="s">
        <v>219</v>
      </c>
    </row>
    <row r="74" spans="2:6" ht="45" customHeight="1" x14ac:dyDescent="0.2">
      <c r="B74" s="6" t="s">
        <v>365</v>
      </c>
      <c r="C74" s="4"/>
      <c r="D74" s="30" t="s">
        <v>572</v>
      </c>
      <c r="E74" s="4"/>
      <c r="F74" s="1" t="s">
        <v>367</v>
      </c>
    </row>
    <row r="75" spans="2:6" ht="30" customHeight="1" x14ac:dyDescent="0.2">
      <c r="B75" s="6" t="s">
        <v>368</v>
      </c>
      <c r="C75" s="4" t="s">
        <v>369</v>
      </c>
      <c r="D75" s="32">
        <v>0.08</v>
      </c>
      <c r="E75" s="4" t="s">
        <v>263</v>
      </c>
      <c r="F75" s="1" t="s">
        <v>370</v>
      </c>
    </row>
    <row r="76" spans="2:6" ht="17" x14ac:dyDescent="0.2">
      <c r="B76" s="6" t="s">
        <v>371</v>
      </c>
      <c r="C76" s="4" t="s">
        <v>369</v>
      </c>
      <c r="D76" s="20">
        <f>IF($D$74="Measured",$D$75,Defaults!$C$23)</f>
        <v>0.08</v>
      </c>
      <c r="E76" s="4" t="s">
        <v>263</v>
      </c>
      <c r="F76" s="1" t="s">
        <v>124</v>
      </c>
    </row>
    <row r="77" spans="2:6" ht="17" x14ac:dyDescent="0.2">
      <c r="B77" s="6" t="s">
        <v>372</v>
      </c>
      <c r="C77" s="4"/>
      <c r="D77" s="30" t="s">
        <v>573</v>
      </c>
      <c r="E77" s="4"/>
      <c r="F77" s="1" t="s">
        <v>374</v>
      </c>
    </row>
    <row r="78" spans="2:6" ht="30" customHeight="1" x14ac:dyDescent="0.2">
      <c r="B78" s="6" t="s">
        <v>375</v>
      </c>
      <c r="C78" s="4" t="s">
        <v>376</v>
      </c>
      <c r="D78" s="39">
        <v>0.8</v>
      </c>
      <c r="E78" s="4" t="s">
        <v>363</v>
      </c>
      <c r="F78" s="1" t="s">
        <v>377</v>
      </c>
    </row>
    <row r="79" spans="2:6" ht="34" x14ac:dyDescent="0.2">
      <c r="B79" s="6" t="s">
        <v>378</v>
      </c>
      <c r="C79" s="4" t="s">
        <v>376</v>
      </c>
      <c r="D79" s="37">
        <f>INDEX(Defaults!$C$52:$C$57,MATCH($D$50,Defaults!$B$52:$B$57,0))</f>
        <v>0.55000000000000004</v>
      </c>
      <c r="E79" s="4" t="s">
        <v>363</v>
      </c>
      <c r="F79" s="1" t="s">
        <v>379</v>
      </c>
    </row>
    <row r="80" spans="2:6" ht="17" x14ac:dyDescent="0.2">
      <c r="B80" s="6" t="s">
        <v>181</v>
      </c>
      <c r="C80" s="4" t="s">
        <v>376</v>
      </c>
      <c r="D80" s="16">
        <f>IF($D$77="Default (Table 21)",$D$79,$D$78)</f>
        <v>0.8</v>
      </c>
      <c r="E80" s="4" t="s">
        <v>363</v>
      </c>
      <c r="F80" s="1" t="s">
        <v>374</v>
      </c>
    </row>
    <row r="81" spans="2:6" ht="30" customHeight="1" x14ac:dyDescent="0.2">
      <c r="B81" s="6" t="s">
        <v>380</v>
      </c>
      <c r="C81" s="4" t="s">
        <v>381</v>
      </c>
      <c r="D81" s="38">
        <v>0.26</v>
      </c>
      <c r="E81" s="4" t="s">
        <v>382</v>
      </c>
      <c r="F81" s="1" t="s">
        <v>383</v>
      </c>
    </row>
    <row r="82" spans="2:6" ht="17" x14ac:dyDescent="0.2">
      <c r="B82" s="6" t="s">
        <v>384</v>
      </c>
      <c r="C82" s="4" t="s">
        <v>381</v>
      </c>
      <c r="D82" s="17">
        <f>IF(ISNUMBER($D$81),$D$81,Defaults!$C$17)</f>
        <v>0.26</v>
      </c>
      <c r="E82" s="4" t="s">
        <v>382</v>
      </c>
      <c r="F82" s="1" t="s">
        <v>130</v>
      </c>
    </row>
    <row r="83" spans="2:6" ht="17" x14ac:dyDescent="0.2">
      <c r="B83" s="6" t="s">
        <v>385</v>
      </c>
      <c r="C83" s="4"/>
      <c r="D83" s="4" t="str">
        <f>IF(LEFT($D$84,8)="Method 3","Not applicable (Method 3)",IF($D$82&gt;Defaults!$C$18,"Not creditable under Method 1 (H:Corg above 0.50)",IF(AND($D$21="Track 1",$D$82&gt;Defaults!$C$17),"Track 1 default-route limit 0.40 exceeded — test the batch","Eligible")))</f>
        <v>Eligible</v>
      </c>
      <c r="E83" s="4"/>
      <c r="F83" s="1" t="s">
        <v>240</v>
      </c>
    </row>
    <row r="84" spans="2:6" ht="17" x14ac:dyDescent="0.2">
      <c r="B84" s="6" t="s">
        <v>386</v>
      </c>
      <c r="C84" s="4"/>
      <c r="D84" s="30" t="s">
        <v>387</v>
      </c>
      <c r="E84" s="4"/>
      <c r="F84" s="1" t="s">
        <v>130</v>
      </c>
    </row>
    <row r="85" spans="2:6" ht="17" x14ac:dyDescent="0.2">
      <c r="B85" s="6" t="s">
        <v>388</v>
      </c>
      <c r="C85" s="4"/>
      <c r="D85" s="17">
        <f>ROUND(MIN(0.5,MAX(0.2,CEILING($D$82,0.05))),2)</f>
        <v>0.3</v>
      </c>
      <c r="E85" s="4" t="s">
        <v>382</v>
      </c>
      <c r="F85" s="1" t="s">
        <v>389</v>
      </c>
    </row>
    <row r="86" spans="2:6" ht="30" customHeight="1" x14ac:dyDescent="0.2">
      <c r="B86" s="6" t="s">
        <v>390</v>
      </c>
      <c r="C86" s="4" t="s">
        <v>391</v>
      </c>
      <c r="D86" s="41">
        <f>INDEX(Defaults!$C$121:$I$154,MATCH($D$27,Defaults!$B$121:$B$154,0),MATCH($D$85,Defaults!$C$120:$I$120,0))</f>
        <v>0.82</v>
      </c>
      <c r="E86" s="4" t="s">
        <v>263</v>
      </c>
      <c r="F86" s="1" t="s">
        <v>392</v>
      </c>
    </row>
    <row r="87" spans="2:6" ht="30" customHeight="1" x14ac:dyDescent="0.2">
      <c r="B87" s="6" t="s">
        <v>393</v>
      </c>
      <c r="C87" s="4" t="s">
        <v>391</v>
      </c>
      <c r="D87" s="39">
        <v>0</v>
      </c>
      <c r="E87" s="4" t="s">
        <v>263</v>
      </c>
      <c r="F87" s="1" t="s">
        <v>394</v>
      </c>
    </row>
    <row r="88" spans="2:6" ht="17" x14ac:dyDescent="0.2">
      <c r="B88" s="35" t="s">
        <v>184</v>
      </c>
      <c r="C88" s="2" t="s">
        <v>391</v>
      </c>
      <c r="D88" s="43">
        <f>IF(LEFT($D$84,8)="Method 3",Defaults!$C$12,IF(LEFT($D$84,8)="Method 2",MIN(Defaults!$C$13,$D$87),IF($D$82&gt;Defaults!$C$18,0,$D$86)))</f>
        <v>0.82</v>
      </c>
      <c r="E88" s="2" t="s">
        <v>263</v>
      </c>
      <c r="F88" s="36" t="s">
        <v>130</v>
      </c>
    </row>
    <row r="89" spans="2:6" ht="51" x14ac:dyDescent="0.2">
      <c r="B89" s="6" t="s">
        <v>395</v>
      </c>
      <c r="C89" s="4"/>
      <c r="D89" s="30" t="s">
        <v>582</v>
      </c>
      <c r="E89" s="4"/>
      <c r="F89" s="1" t="s">
        <v>397</v>
      </c>
    </row>
    <row r="90" spans="2:6" ht="30" customHeight="1" x14ac:dyDescent="0.2">
      <c r="B90" s="6" t="s">
        <v>398</v>
      </c>
      <c r="C90" s="4"/>
      <c r="D90" s="30" t="s">
        <v>270</v>
      </c>
      <c r="E90" s="4"/>
      <c r="F90" s="1" t="s">
        <v>399</v>
      </c>
    </row>
    <row r="91" spans="2:6" ht="51" x14ac:dyDescent="0.2">
      <c r="B91" s="6" t="s">
        <v>185</v>
      </c>
      <c r="C91" s="4" t="s">
        <v>400</v>
      </c>
      <c r="D91" s="19">
        <f>IF($D$90="Yes",0,INDEX(Defaults!$C$67:$C$70,MATCH($D$89,Defaults!$B$67:$B$70,0)))</f>
        <v>0.05</v>
      </c>
      <c r="E91" s="4" t="s">
        <v>263</v>
      </c>
      <c r="F91" s="1" t="s">
        <v>397</v>
      </c>
    </row>
    <row r="92" spans="2:6" ht="17" x14ac:dyDescent="0.2">
      <c r="B92" s="6" t="s">
        <v>401</v>
      </c>
      <c r="C92" s="4"/>
      <c r="D92" s="44">
        <v>10</v>
      </c>
      <c r="E92" s="4" t="s">
        <v>402</v>
      </c>
      <c r="F92" s="1" t="s">
        <v>403</v>
      </c>
    </row>
    <row r="93" spans="2:6" ht="17" x14ac:dyDescent="0.2">
      <c r="B93" s="6" t="s">
        <v>404</v>
      </c>
      <c r="C93" s="4"/>
      <c r="D93" s="4" t="str">
        <f>IF(LEFT($D$22,2)="A1",IF($D$92&gt;Defaults!$C$48,"Above the 50 t/ha cap","OK"),"n/a")</f>
        <v>OK</v>
      </c>
      <c r="E93" s="4"/>
      <c r="F93" s="1" t="s">
        <v>403</v>
      </c>
    </row>
    <row r="95" spans="2:6" ht="16" x14ac:dyDescent="0.2">
      <c r="B95" s="10" t="s">
        <v>405</v>
      </c>
      <c r="C95" s="11"/>
      <c r="D95" s="11"/>
      <c r="E95" s="11"/>
      <c r="F95" s="11"/>
    </row>
    <row r="96" spans="2:6" ht="16" x14ac:dyDescent="0.2">
      <c r="B96" s="12" t="s">
        <v>215</v>
      </c>
      <c r="C96" s="12" t="s">
        <v>216</v>
      </c>
      <c r="D96" s="12" t="s">
        <v>217</v>
      </c>
      <c r="E96" s="12" t="s">
        <v>218</v>
      </c>
      <c r="F96" s="12" t="s">
        <v>219</v>
      </c>
    </row>
    <row r="97" spans="2:19" ht="17" x14ac:dyDescent="0.2">
      <c r="B97" s="6" t="s">
        <v>406</v>
      </c>
      <c r="C97" s="4"/>
      <c r="D97" s="30" t="s">
        <v>590</v>
      </c>
      <c r="E97" s="4"/>
      <c r="F97" s="1" t="s">
        <v>142</v>
      </c>
    </row>
    <row r="98" spans="2:19" ht="34" x14ac:dyDescent="0.2">
      <c r="B98" s="6" t="s">
        <v>408</v>
      </c>
      <c r="C98" s="4" t="s">
        <v>409</v>
      </c>
      <c r="D98" s="42">
        <f>INDEX(Defaults!$C$61:$C$63,MATCH($D$54,Defaults!$B$61:$B$63,0))</f>
        <v>5.4999999999999997E-3</v>
      </c>
      <c r="E98" s="4" t="s">
        <v>410</v>
      </c>
      <c r="F98" s="1" t="s">
        <v>411</v>
      </c>
    </row>
    <row r="99" spans="2:19" ht="30" customHeight="1" x14ac:dyDescent="0.2">
      <c r="B99" s="6" t="s">
        <v>412</v>
      </c>
      <c r="C99" s="4" t="s">
        <v>409</v>
      </c>
      <c r="D99" s="40">
        <v>0</v>
      </c>
      <c r="E99" s="4" t="s">
        <v>410</v>
      </c>
      <c r="F99" s="1" t="s">
        <v>413</v>
      </c>
    </row>
    <row r="100" spans="2:19" ht="30" customHeight="1" x14ac:dyDescent="0.2">
      <c r="B100" s="6" t="s">
        <v>414</v>
      </c>
      <c r="C100" s="4" t="s">
        <v>409</v>
      </c>
      <c r="D100" s="45">
        <f>MAX($D$99,IF($D$98&gt;0,$D$98,Defaults!$C$26))</f>
        <v>5.4999999999999997E-3</v>
      </c>
      <c r="E100" s="4" t="s">
        <v>410</v>
      </c>
      <c r="F100" s="1" t="s">
        <v>413</v>
      </c>
    </row>
    <row r="101" spans="2:19" ht="30" customHeight="1" x14ac:dyDescent="0.2">
      <c r="B101" s="6" t="s">
        <v>415</v>
      </c>
      <c r="C101" s="4" t="s">
        <v>416</v>
      </c>
      <c r="D101" s="46">
        <v>2.6800000000000001E-3</v>
      </c>
      <c r="E101" s="4" t="s">
        <v>417</v>
      </c>
      <c r="F101" s="1" t="s">
        <v>418</v>
      </c>
    </row>
    <row r="102" spans="2:19" ht="30" customHeight="1" x14ac:dyDescent="0.2">
      <c r="B102" s="6" t="s">
        <v>419</v>
      </c>
      <c r="C102" s="4" t="s">
        <v>420</v>
      </c>
      <c r="D102" s="39">
        <v>0.35</v>
      </c>
      <c r="E102" s="4" t="s">
        <v>421</v>
      </c>
      <c r="F102" s="1" t="s">
        <v>422</v>
      </c>
    </row>
    <row r="103" spans="2:19" ht="45" customHeight="1" x14ac:dyDescent="0.2">
      <c r="B103" s="6" t="s">
        <v>423</v>
      </c>
      <c r="C103" s="4" t="s">
        <v>424</v>
      </c>
      <c r="D103" s="46">
        <v>1.2E-4</v>
      </c>
      <c r="E103" s="4" t="s">
        <v>425</v>
      </c>
      <c r="F103" s="1" t="s">
        <v>426</v>
      </c>
    </row>
    <row r="104" spans="2:19" ht="45" customHeight="1" x14ac:dyDescent="0.2">
      <c r="B104" s="6" t="s">
        <v>427</v>
      </c>
      <c r="C104" s="4"/>
      <c r="D104" s="30" t="s">
        <v>428</v>
      </c>
      <c r="E104" s="4"/>
      <c r="F104" s="1" t="s">
        <v>429</v>
      </c>
    </row>
    <row r="106" spans="2:19" ht="16" x14ac:dyDescent="0.2">
      <c r="B106" s="10" t="s">
        <v>430</v>
      </c>
      <c r="C106" s="11"/>
      <c r="D106" s="11"/>
      <c r="E106" s="11"/>
      <c r="F106" s="11"/>
    </row>
    <row r="107" spans="2:19" ht="16" x14ac:dyDescent="0.2">
      <c r="B107" s="12" t="s">
        <v>215</v>
      </c>
      <c r="C107" s="12" t="s">
        <v>216</v>
      </c>
      <c r="D107" s="12" t="s">
        <v>217</v>
      </c>
      <c r="E107" s="12" t="s">
        <v>218</v>
      </c>
      <c r="F107" s="12" t="s">
        <v>219</v>
      </c>
    </row>
    <row r="108" spans="2:19" ht="45" customHeight="1" x14ac:dyDescent="0.2">
      <c r="B108" s="6" t="s">
        <v>431</v>
      </c>
      <c r="C108" s="4" t="s">
        <v>432</v>
      </c>
      <c r="D108" s="47">
        <v>650</v>
      </c>
      <c r="E108" s="4" t="s">
        <v>433</v>
      </c>
      <c r="F108" s="1" t="s">
        <v>434</v>
      </c>
    </row>
    <row r="109" spans="2:19" ht="34" x14ac:dyDescent="0.2">
      <c r="B109" s="6" t="s">
        <v>435</v>
      </c>
      <c r="C109" s="4"/>
      <c r="D109" s="4" t="str">
        <f>IF($D$21="Track 3","Option B (inventory)",IF($D$108&gt;0,"Option B (inventory)","Option A (default per tonne)"))</f>
        <v>Option B (inventory)</v>
      </c>
      <c r="E109" s="4"/>
      <c r="F109" s="1" t="s">
        <v>436</v>
      </c>
    </row>
    <row r="110" spans="2:19" ht="30" customHeight="1" x14ac:dyDescent="0.2">
      <c r="B110" s="6" t="s">
        <v>437</v>
      </c>
      <c r="C110" s="4"/>
      <c r="D110" s="4" t="str">
        <f>IF((IF(AND($D$21="Track 1",LEFT($D$22,2)&lt;&gt;"A1"),"Modules A2 and A3 are not available under Track 1 (Annex 3, Table 19). ","")&amp;IF(AND($D$21&lt;&gt;"Track 3",OR(LEFT($D$23,2)="F5",LEFT($D$23,2)="F6")),"Modules F5 and F6 are restricted to Track 3 (Annex 1). ","")&amp;IF(AND($D$21&lt;&gt;"Track 1",LEFT($D$84,8)="Method 1",NOT(ISNUMBER($D$26))),"Tracks 2 and 3 enter the gridded-dataset soil temperature (Section 8.5). ","")&amp;IF(AND($D$21="Track 3",$D$77="Default (Table 21)"),"Track 3 measures organic carbon (Section 8.4). ","")&amp;IF(AND($D$21&lt;&gt;"Track 1",LEFT($D$74,7)="Default"),"The biochar moisture default is restricted to Track 1 (PARC 8). ","")&amp;IF(AND($D$21&lt;&gt;"Track 1",LEFT($D$51,5)="Yield"),"The yield default is restricted to Track 1 (PARC 3). ","")&amp;IF(AND(LEFT($D$23,2)="F1",LEFT($D$51,5)="Yield"),"Module F1 residue is weighed at collection (Section 8.3). ","")&amp;IF(AND($D$21="Track 3",LEFT($D$104,5)="Small"),"The small-hub default is available to Tracks 1 and 2 only (Section 9.3). ","")&amp;IF(AND($D$21&lt;&gt;"Track 1",LEFT($D$97,6)="Option"),"Methane Options A and B are Track 1 routes (Section 9.4). ","")&amp;IF(AND($D$21="Track 3",LEFT($D$97,7)="Track 2"),"Track 3 measures methane continuously (Section 9.4). ","")&amp;IF(AND(LEFT($D$97,8)="Option A",LEFT($D$54,5)="Moist"),"Feedstock above 24% moisture is not creditable; dry before charging (Section 9.4). ","")&amp;IF(AND(LEFT($D$22,2)="A1",LEFT($D$84,8)="Method 3"),"Method 3 applies to Modules A2 and A3 only (Section 8.5). ","")&amp;IF(AND(LEFT($D$22,2)&lt;&gt;"A1",LEFT($D$84,8)&lt;&gt;"Method 3"),"Modules A2 and A3 apply Method 3 (Section 8.5). ","")&amp;IF(AND($D$21="Track 1",LEFT($D$84,8)="Method 2"),"Method 2 is available to Tracks 2 and 3 only (Section 8.5). ",""))="","OK",TRIM(IF(AND($D$21="Track 1",LEFT($D$22,2)&lt;&gt;"A1"),"Modules A2 and A3 are not available under Track 1 (Annex 3, Table 19). ","")&amp;IF(AND($D$21&lt;&gt;"Track 3",OR(LEFT($D$23,2)="F5",LEFT($D$23,2)="F6")),"Modules F5 and F6 are restricted to Track 3 (Annex 1). ","")&amp;IF(AND($D$21&lt;&gt;"Track 1",LEFT($D$84,8)="Method 1",NOT(ISNUMBER($D$26))),"Tracks 2 and 3 enter the gridded-dataset soil temperature (Section 8.5). ","")&amp;IF(AND($D$21="Track 3",$D$77="Default (Table 21)"),"Track 3 measures organic carbon (Section 8.4). ","")&amp;IF(AND($D$21&lt;&gt;"Track 1",LEFT($D$74,7)="Default"),"The biochar moisture default is restricted to Track 1 (PARC 8). ","")&amp;IF(AND($D$21&lt;&gt;"Track 1",LEFT($D$51,5)="Yield"),"The yield default is restricted to Track 1 (PARC 3). ","")&amp;IF(AND(LEFT($D$23,2)="F1",LEFT($D$51,5)="Yield"),"Module F1 residue is weighed at collection (Section 8.3). ","")&amp;IF(AND($D$21="Track 3",LEFT($D$104,5)="Small"),"The small-hub default is available to Tracks 1 and 2 only (Section 9.3). ","")&amp;IF(AND($D$21&lt;&gt;"Track 1",LEFT($D$97,6)="Option"),"Methane Options A and B are Track 1 routes (Section 9.4). ","")&amp;IF(AND($D$21="Track 3",LEFT($D$97,7)="Track 2"),"Track 3 measures methane continuously (Section 9.4). ","")&amp;IF(AND(LEFT($D$97,8)="Option A",LEFT($D$54,5)="Moist"),"Feedstock above 24% moisture is not creditable; dry before charging (Section 9.4). ","")&amp;IF(AND(LEFT($D$22,2)="A1",LEFT($D$84,8)="Method 3"),"Method 3 applies to Modules A2 and A3 only (Section 8.5). ","")&amp;IF(AND(LEFT($D$22,2)&lt;&gt;"A1",LEFT($D$84,8)&lt;&gt;"Method 3"),"Modules A2 and A3 apply Method 3 (Section 8.5). ","")&amp;IF(AND($D$21="Track 1",LEFT($D$84,8)="Method 2"),"Method 2 is available to Tracks 2 and 3 only (Section 8.5). ","")))</f>
        <v>OK</v>
      </c>
      <c r="E110" s="4"/>
      <c r="F110" s="1" t="s">
        <v>438</v>
      </c>
    </row>
    <row r="112" spans="2:19" ht="16" x14ac:dyDescent="0.2">
      <c r="B112" s="10" t="s">
        <v>439</v>
      </c>
      <c r="C112" s="11"/>
      <c r="D112" s="11"/>
      <c r="E112" s="11"/>
      <c r="F112" s="11"/>
      <c r="G112" s="11"/>
      <c r="H112" s="11"/>
      <c r="I112" s="11"/>
      <c r="J112" s="11"/>
      <c r="K112" s="11"/>
      <c r="L112" s="11"/>
      <c r="M112" s="11"/>
      <c r="N112" s="11"/>
      <c r="R112" s="11"/>
      <c r="S112" s="11"/>
    </row>
    <row r="113" spans="2:19" ht="16" x14ac:dyDescent="0.2">
      <c r="B113" s="12" t="s">
        <v>440</v>
      </c>
      <c r="C113" s="12" t="s">
        <v>216</v>
      </c>
      <c r="D113" s="48" t="s">
        <v>441</v>
      </c>
      <c r="E113" s="48" t="s">
        <v>442</v>
      </c>
      <c r="F113" s="48" t="s">
        <v>443</v>
      </c>
      <c r="G113" s="48" t="s">
        <v>444</v>
      </c>
      <c r="H113" s="48" t="s">
        <v>445</v>
      </c>
      <c r="I113" s="48" t="s">
        <v>446</v>
      </c>
      <c r="J113" s="48" t="s">
        <v>447</v>
      </c>
      <c r="K113" s="48" t="s">
        <v>448</v>
      </c>
      <c r="L113" s="48" t="s">
        <v>449</v>
      </c>
      <c r="M113" s="48" t="s">
        <v>450</v>
      </c>
      <c r="N113" s="48" t="s">
        <v>451</v>
      </c>
      <c r="R113" s="12" t="s">
        <v>218</v>
      </c>
      <c r="S113" s="12" t="s">
        <v>452</v>
      </c>
    </row>
    <row r="114" spans="2:19" ht="16" x14ac:dyDescent="0.2">
      <c r="B114" s="49" t="s">
        <v>453</v>
      </c>
    </row>
    <row r="115" spans="2:19" ht="17" x14ac:dyDescent="0.2">
      <c r="B115" s="6" t="s">
        <v>454</v>
      </c>
      <c r="C115" s="4"/>
      <c r="D115" s="50">
        <v>1</v>
      </c>
      <c r="E115" s="50">
        <v>1</v>
      </c>
      <c r="F115" s="50">
        <v>1</v>
      </c>
      <c r="G115" s="50">
        <v>1</v>
      </c>
      <c r="H115" s="50">
        <v>1</v>
      </c>
      <c r="I115" s="50">
        <v>1</v>
      </c>
      <c r="J115" s="50">
        <v>1</v>
      </c>
      <c r="K115" s="50">
        <v>1</v>
      </c>
      <c r="L115" s="50">
        <v>1</v>
      </c>
      <c r="M115" s="50">
        <v>1</v>
      </c>
      <c r="N115" s="51">
        <f>SUM(D115:M115)</f>
        <v>10</v>
      </c>
      <c r="R115" s="4"/>
      <c r="S115" s="9"/>
    </row>
    <row r="116" spans="2:19" ht="17" x14ac:dyDescent="0.2">
      <c r="B116" s="6" t="s">
        <v>455</v>
      </c>
      <c r="C116" s="4" t="s">
        <v>456</v>
      </c>
      <c r="D116" s="47">
        <v>13020</v>
      </c>
      <c r="E116" s="47">
        <v>19530</v>
      </c>
      <c r="F116" s="47">
        <v>21700</v>
      </c>
      <c r="G116" s="47">
        <v>21700</v>
      </c>
      <c r="H116" s="47">
        <v>21700</v>
      </c>
      <c r="I116" s="47">
        <v>21700</v>
      </c>
      <c r="J116" s="47">
        <v>21700</v>
      </c>
      <c r="K116" s="47">
        <v>21700</v>
      </c>
      <c r="L116" s="47">
        <v>21700</v>
      </c>
      <c r="M116" s="47">
        <v>21700</v>
      </c>
      <c r="N116" s="52">
        <f>SUM(D116:M116)</f>
        <v>206150</v>
      </c>
      <c r="R116" s="4" t="s">
        <v>457</v>
      </c>
      <c r="S116" s="9" t="s">
        <v>458</v>
      </c>
    </row>
    <row r="117" spans="2:19" ht="17" x14ac:dyDescent="0.2">
      <c r="B117" s="6" t="s">
        <v>459</v>
      </c>
      <c r="C117" s="4" t="s">
        <v>460</v>
      </c>
      <c r="D117" s="47">
        <v>44364</v>
      </c>
      <c r="E117" s="47">
        <v>66547</v>
      </c>
      <c r="F117" s="47">
        <v>73941</v>
      </c>
      <c r="G117" s="47">
        <v>73941</v>
      </c>
      <c r="H117" s="47">
        <v>73941</v>
      </c>
      <c r="I117" s="47">
        <v>73941</v>
      </c>
      <c r="J117" s="47">
        <v>73941</v>
      </c>
      <c r="K117" s="47">
        <v>73941</v>
      </c>
      <c r="L117" s="47">
        <v>73941</v>
      </c>
      <c r="M117" s="47">
        <v>73941</v>
      </c>
      <c r="N117" s="52">
        <f>SUM(D117:M117)</f>
        <v>702439</v>
      </c>
      <c r="R117" s="4" t="s">
        <v>226</v>
      </c>
      <c r="S117" s="9" t="s">
        <v>458</v>
      </c>
    </row>
    <row r="118" spans="2:19" ht="30" customHeight="1" x14ac:dyDescent="0.2">
      <c r="B118" s="6" t="s">
        <v>461</v>
      </c>
      <c r="C118" s="4" t="s">
        <v>462</v>
      </c>
      <c r="D118" s="44">
        <v>0</v>
      </c>
      <c r="E118" s="44">
        <v>0</v>
      </c>
      <c r="F118" s="44">
        <v>0</v>
      </c>
      <c r="G118" s="44">
        <v>0</v>
      </c>
      <c r="H118" s="44">
        <v>0</v>
      </c>
      <c r="I118" s="44">
        <v>0</v>
      </c>
      <c r="J118" s="44">
        <v>0</v>
      </c>
      <c r="K118" s="44">
        <v>0</v>
      </c>
      <c r="L118" s="44">
        <v>0</v>
      </c>
      <c r="M118" s="44">
        <v>0</v>
      </c>
      <c r="R118" s="4" t="s">
        <v>463</v>
      </c>
      <c r="S118" s="9" t="s">
        <v>464</v>
      </c>
    </row>
    <row r="119" spans="2:19" ht="17" x14ac:dyDescent="0.2">
      <c r="B119" s="6" t="s">
        <v>465</v>
      </c>
      <c r="C119" s="4" t="s">
        <v>466</v>
      </c>
      <c r="D119" s="47">
        <v>0</v>
      </c>
      <c r="E119" s="47">
        <v>0</v>
      </c>
      <c r="F119" s="47">
        <v>0</v>
      </c>
      <c r="G119" s="47">
        <v>0</v>
      </c>
      <c r="H119" s="47">
        <v>0</v>
      </c>
      <c r="I119" s="47">
        <v>0</v>
      </c>
      <c r="J119" s="47">
        <v>0</v>
      </c>
      <c r="K119" s="47">
        <v>0</v>
      </c>
      <c r="L119" s="47">
        <v>0</v>
      </c>
      <c r="M119" s="47">
        <v>0</v>
      </c>
      <c r="N119" s="52">
        <f t="shared" ref="N119:N130" si="0">SUM(D119:M119)</f>
        <v>0</v>
      </c>
      <c r="R119" s="4" t="s">
        <v>221</v>
      </c>
      <c r="S119" s="9" t="s">
        <v>137</v>
      </c>
    </row>
    <row r="120" spans="2:19" ht="30" customHeight="1" x14ac:dyDescent="0.2">
      <c r="B120" s="6" t="s">
        <v>467</v>
      </c>
      <c r="C120" s="4" t="s">
        <v>468</v>
      </c>
      <c r="D120" s="53">
        <v>0</v>
      </c>
      <c r="E120" s="53">
        <v>0</v>
      </c>
      <c r="F120" s="53">
        <v>0</v>
      </c>
      <c r="G120" s="53">
        <v>0</v>
      </c>
      <c r="H120" s="53">
        <v>0</v>
      </c>
      <c r="I120" s="53">
        <v>0</v>
      </c>
      <c r="J120" s="53">
        <v>0</v>
      </c>
      <c r="K120" s="53">
        <v>0</v>
      </c>
      <c r="L120" s="53">
        <v>0</v>
      </c>
      <c r="M120" s="53">
        <v>0</v>
      </c>
      <c r="N120" s="54">
        <f t="shared" si="0"/>
        <v>0</v>
      </c>
      <c r="R120" s="4" t="s">
        <v>226</v>
      </c>
      <c r="S120" s="9" t="s">
        <v>469</v>
      </c>
    </row>
    <row r="121" spans="2:19" ht="17" x14ac:dyDescent="0.2">
      <c r="B121" s="6" t="s">
        <v>470</v>
      </c>
      <c r="C121" s="4" t="s">
        <v>471</v>
      </c>
      <c r="D121" s="38">
        <v>11.72</v>
      </c>
      <c r="E121" s="38">
        <v>17.579999999999998</v>
      </c>
      <c r="F121" s="38">
        <v>19.53</v>
      </c>
      <c r="G121" s="38">
        <v>19.53</v>
      </c>
      <c r="H121" s="38">
        <v>19.53</v>
      </c>
      <c r="I121" s="38">
        <v>19.53</v>
      </c>
      <c r="J121" s="38">
        <v>19.53</v>
      </c>
      <c r="K121" s="38">
        <v>19.53</v>
      </c>
      <c r="L121" s="38">
        <v>19.53</v>
      </c>
      <c r="M121" s="38">
        <v>19.53</v>
      </c>
      <c r="N121" s="55">
        <f t="shared" si="0"/>
        <v>185.54000000000002</v>
      </c>
      <c r="R121" s="4" t="s">
        <v>472</v>
      </c>
      <c r="S121" s="9" t="s">
        <v>473</v>
      </c>
    </row>
    <row r="122" spans="2:19" ht="17" x14ac:dyDescent="0.2">
      <c r="B122" s="6" t="s">
        <v>474</v>
      </c>
      <c r="C122" s="4" t="s">
        <v>475</v>
      </c>
      <c r="D122" s="47">
        <v>0</v>
      </c>
      <c r="E122" s="47">
        <v>0</v>
      </c>
      <c r="F122" s="47">
        <v>0</v>
      </c>
      <c r="G122" s="47">
        <v>0</v>
      </c>
      <c r="H122" s="47">
        <v>0</v>
      </c>
      <c r="I122" s="47">
        <v>0</v>
      </c>
      <c r="J122" s="47">
        <v>0</v>
      </c>
      <c r="K122" s="47">
        <v>0</v>
      </c>
      <c r="L122" s="47">
        <v>0</v>
      </c>
      <c r="M122" s="47">
        <v>0</v>
      </c>
      <c r="N122" s="52">
        <f t="shared" si="0"/>
        <v>0</v>
      </c>
      <c r="R122" s="4" t="s">
        <v>476</v>
      </c>
      <c r="S122" s="9" t="s">
        <v>477</v>
      </c>
    </row>
    <row r="123" spans="2:19" ht="17" x14ac:dyDescent="0.2">
      <c r="B123" s="6" t="s">
        <v>478</v>
      </c>
      <c r="C123" s="4" t="s">
        <v>479</v>
      </c>
      <c r="D123" s="53">
        <v>532.4</v>
      </c>
      <c r="E123" s="53">
        <v>798.6</v>
      </c>
      <c r="F123" s="53">
        <v>887.3</v>
      </c>
      <c r="G123" s="53">
        <v>887.3</v>
      </c>
      <c r="H123" s="53">
        <v>887.3</v>
      </c>
      <c r="I123" s="53">
        <v>887.3</v>
      </c>
      <c r="J123" s="53">
        <v>887.3</v>
      </c>
      <c r="K123" s="53">
        <v>887.3</v>
      </c>
      <c r="L123" s="53">
        <v>887.3</v>
      </c>
      <c r="M123" s="53">
        <v>887.3</v>
      </c>
      <c r="N123" s="54">
        <f t="shared" si="0"/>
        <v>8429.4000000000015</v>
      </c>
      <c r="R123" s="4" t="s">
        <v>480</v>
      </c>
      <c r="S123" s="9" t="s">
        <v>477</v>
      </c>
    </row>
    <row r="124" spans="2:19" ht="17" x14ac:dyDescent="0.2">
      <c r="B124" s="6" t="s">
        <v>481</v>
      </c>
      <c r="C124" s="4" t="s">
        <v>482</v>
      </c>
      <c r="D124" s="47">
        <v>0</v>
      </c>
      <c r="E124" s="47">
        <v>0</v>
      </c>
      <c r="F124" s="47">
        <v>0</v>
      </c>
      <c r="G124" s="47">
        <v>0</v>
      </c>
      <c r="H124" s="47">
        <v>0</v>
      </c>
      <c r="I124" s="47">
        <v>0</v>
      </c>
      <c r="J124" s="47">
        <v>0</v>
      </c>
      <c r="K124" s="47">
        <v>0</v>
      </c>
      <c r="L124" s="47">
        <v>0</v>
      </c>
      <c r="M124" s="47">
        <v>0</v>
      </c>
      <c r="N124" s="52">
        <f t="shared" si="0"/>
        <v>0</v>
      </c>
      <c r="R124" s="4" t="s">
        <v>221</v>
      </c>
      <c r="S124" s="9" t="s">
        <v>483</v>
      </c>
    </row>
    <row r="125" spans="2:19" ht="17" x14ac:dyDescent="0.2">
      <c r="B125" s="6" t="s">
        <v>484</v>
      </c>
      <c r="C125" s="4" t="s">
        <v>485</v>
      </c>
      <c r="D125" s="47">
        <v>19530</v>
      </c>
      <c r="E125" s="47">
        <v>29295</v>
      </c>
      <c r="F125" s="47">
        <v>32550</v>
      </c>
      <c r="G125" s="47">
        <v>32550</v>
      </c>
      <c r="H125" s="47">
        <v>32550</v>
      </c>
      <c r="I125" s="47">
        <v>32550</v>
      </c>
      <c r="J125" s="47">
        <v>32550</v>
      </c>
      <c r="K125" s="47">
        <v>32550</v>
      </c>
      <c r="L125" s="47">
        <v>32550</v>
      </c>
      <c r="M125" s="47">
        <v>32550</v>
      </c>
      <c r="N125" s="52">
        <f t="shared" si="0"/>
        <v>309225</v>
      </c>
      <c r="R125" s="4" t="s">
        <v>476</v>
      </c>
      <c r="S125" s="9" t="s">
        <v>486</v>
      </c>
    </row>
    <row r="126" spans="2:19" ht="17" x14ac:dyDescent="0.2">
      <c r="B126" s="6" t="s">
        <v>487</v>
      </c>
      <c r="C126" s="4" t="s">
        <v>488</v>
      </c>
      <c r="D126" s="53">
        <v>651</v>
      </c>
      <c r="E126" s="53">
        <v>976.5</v>
      </c>
      <c r="F126" s="53">
        <v>1085</v>
      </c>
      <c r="G126" s="53">
        <v>1085</v>
      </c>
      <c r="H126" s="53">
        <v>1085</v>
      </c>
      <c r="I126" s="53">
        <v>1085</v>
      </c>
      <c r="J126" s="53">
        <v>1085</v>
      </c>
      <c r="K126" s="53">
        <v>1085</v>
      </c>
      <c r="L126" s="53">
        <v>1085</v>
      </c>
      <c r="M126" s="53">
        <v>1085</v>
      </c>
      <c r="N126" s="54">
        <f t="shared" si="0"/>
        <v>10307.5</v>
      </c>
      <c r="R126" s="4" t="s">
        <v>480</v>
      </c>
      <c r="S126" s="9" t="s">
        <v>486</v>
      </c>
    </row>
    <row r="127" spans="2:19" ht="17" x14ac:dyDescent="0.2">
      <c r="B127" s="6" t="s">
        <v>489</v>
      </c>
      <c r="C127" s="4" t="s">
        <v>490</v>
      </c>
      <c r="D127" s="47">
        <v>4028292</v>
      </c>
      <c r="E127" s="47">
        <v>6042437</v>
      </c>
      <c r="F127" s="47">
        <v>6713819</v>
      </c>
      <c r="G127" s="47">
        <v>6713819</v>
      </c>
      <c r="H127" s="47">
        <v>6713819</v>
      </c>
      <c r="I127" s="47">
        <v>6713819</v>
      </c>
      <c r="J127" s="47">
        <v>6713819</v>
      </c>
      <c r="K127" s="47">
        <v>6713819</v>
      </c>
      <c r="L127" s="47">
        <v>6713819</v>
      </c>
      <c r="M127" s="47">
        <v>6713819</v>
      </c>
      <c r="N127" s="52">
        <f t="shared" si="0"/>
        <v>63781281</v>
      </c>
      <c r="R127" s="4" t="s">
        <v>491</v>
      </c>
      <c r="S127" s="9" t="s">
        <v>492</v>
      </c>
    </row>
    <row r="128" spans="2:19" ht="17" x14ac:dyDescent="0.2">
      <c r="B128" s="6" t="s">
        <v>493</v>
      </c>
      <c r="C128" s="4" t="s">
        <v>494</v>
      </c>
      <c r="D128" s="47">
        <v>17968</v>
      </c>
      <c r="E128" s="47">
        <v>26951</v>
      </c>
      <c r="F128" s="47">
        <v>29946</v>
      </c>
      <c r="G128" s="47">
        <v>29946</v>
      </c>
      <c r="H128" s="47">
        <v>29946</v>
      </c>
      <c r="I128" s="47">
        <v>29946</v>
      </c>
      <c r="J128" s="47">
        <v>29946</v>
      </c>
      <c r="K128" s="47">
        <v>29946</v>
      </c>
      <c r="L128" s="47">
        <v>29946</v>
      </c>
      <c r="M128" s="47">
        <v>29946</v>
      </c>
      <c r="N128" s="52">
        <f t="shared" si="0"/>
        <v>284487</v>
      </c>
      <c r="R128" s="4" t="s">
        <v>476</v>
      </c>
      <c r="S128" s="9" t="s">
        <v>495</v>
      </c>
    </row>
    <row r="129" spans="2:19" ht="30" customHeight="1" x14ac:dyDescent="0.2">
      <c r="B129" s="6" t="s">
        <v>496</v>
      </c>
      <c r="C129" s="4" t="s">
        <v>497</v>
      </c>
      <c r="D129" s="47">
        <v>0</v>
      </c>
      <c r="E129" s="47">
        <v>0</v>
      </c>
      <c r="F129" s="47">
        <v>0</v>
      </c>
      <c r="G129" s="47">
        <v>0</v>
      </c>
      <c r="H129" s="47">
        <v>0</v>
      </c>
      <c r="I129" s="47">
        <v>0</v>
      </c>
      <c r="J129" s="47">
        <v>0</v>
      </c>
      <c r="K129" s="47">
        <v>0</v>
      </c>
      <c r="L129" s="47">
        <v>0</v>
      </c>
      <c r="M129" s="47">
        <v>0</v>
      </c>
      <c r="N129" s="52">
        <f t="shared" si="0"/>
        <v>0</v>
      </c>
      <c r="R129" s="4" t="s">
        <v>221</v>
      </c>
      <c r="S129" s="9" t="s">
        <v>498</v>
      </c>
    </row>
    <row r="130" spans="2:19" ht="30" customHeight="1" x14ac:dyDescent="0.2">
      <c r="B130" s="6" t="s">
        <v>499</v>
      </c>
      <c r="C130" s="4" t="s">
        <v>500</v>
      </c>
      <c r="D130" s="47">
        <v>0</v>
      </c>
      <c r="E130" s="47">
        <v>0</v>
      </c>
      <c r="F130" s="47">
        <v>0</v>
      </c>
      <c r="G130" s="47">
        <v>0</v>
      </c>
      <c r="H130" s="47">
        <v>0</v>
      </c>
      <c r="I130" s="47">
        <v>0</v>
      </c>
      <c r="J130" s="47">
        <v>0</v>
      </c>
      <c r="K130" s="47">
        <v>0</v>
      </c>
      <c r="L130" s="47">
        <v>0</v>
      </c>
      <c r="M130" s="47">
        <v>0</v>
      </c>
      <c r="N130" s="52">
        <f t="shared" si="0"/>
        <v>0</v>
      </c>
      <c r="R130" s="4" t="s">
        <v>226</v>
      </c>
      <c r="S130" s="9" t="s">
        <v>501</v>
      </c>
    </row>
    <row r="131" spans="2:19" ht="17" x14ac:dyDescent="0.2">
      <c r="B131" s="6" t="s">
        <v>502</v>
      </c>
      <c r="C131" s="4" t="s">
        <v>369</v>
      </c>
      <c r="D131" s="32"/>
      <c r="E131" s="32"/>
      <c r="F131" s="32"/>
      <c r="G131" s="32"/>
      <c r="H131" s="32"/>
      <c r="I131" s="32"/>
      <c r="J131" s="32"/>
      <c r="K131" s="32"/>
      <c r="L131" s="32"/>
      <c r="M131" s="32"/>
      <c r="R131" s="4" t="s">
        <v>263</v>
      </c>
      <c r="S131" s="9" t="s">
        <v>124</v>
      </c>
    </row>
    <row r="132" spans="2:19" ht="17" x14ac:dyDescent="0.2">
      <c r="B132" s="6" t="s">
        <v>503</v>
      </c>
      <c r="C132" s="4" t="s">
        <v>262</v>
      </c>
      <c r="D132" s="56">
        <f t="shared" ref="D132:M132" si="1">$D$28</f>
        <v>1.2500000000000001E-2</v>
      </c>
      <c r="E132" s="56">
        <f t="shared" si="1"/>
        <v>1.2500000000000001E-2</v>
      </c>
      <c r="F132" s="56">
        <f t="shared" si="1"/>
        <v>1.2500000000000001E-2</v>
      </c>
      <c r="G132" s="56">
        <f t="shared" si="1"/>
        <v>1.2500000000000001E-2</v>
      </c>
      <c r="H132" s="56">
        <f t="shared" si="1"/>
        <v>1.2500000000000001E-2</v>
      </c>
      <c r="I132" s="56">
        <f t="shared" si="1"/>
        <v>1.2500000000000001E-2</v>
      </c>
      <c r="J132" s="56">
        <f t="shared" si="1"/>
        <v>1.2500000000000001E-2</v>
      </c>
      <c r="K132" s="56">
        <f t="shared" si="1"/>
        <v>1.2500000000000001E-2</v>
      </c>
      <c r="L132" s="56">
        <f t="shared" si="1"/>
        <v>1.2500000000000001E-2</v>
      </c>
      <c r="M132" s="56">
        <f t="shared" si="1"/>
        <v>1.2500000000000001E-2</v>
      </c>
      <c r="R132" s="4" t="s">
        <v>263</v>
      </c>
      <c r="S132" s="9" t="s">
        <v>234</v>
      </c>
    </row>
    <row r="134" spans="2:19" ht="16" x14ac:dyDescent="0.2">
      <c r="B134" s="49" t="s">
        <v>504</v>
      </c>
    </row>
    <row r="135" spans="2:19" ht="17" x14ac:dyDescent="0.2">
      <c r="B135" s="6" t="s">
        <v>505</v>
      </c>
      <c r="C135" s="4" t="s">
        <v>369</v>
      </c>
      <c r="D135" s="20">
        <f t="shared" ref="D135:M135" si="2">IF(ISNUMBER(D$131),D$131,$D$76)</f>
        <v>0.08</v>
      </c>
      <c r="E135" s="20">
        <f t="shared" si="2"/>
        <v>0.08</v>
      </c>
      <c r="F135" s="20">
        <f t="shared" si="2"/>
        <v>0.08</v>
      </c>
      <c r="G135" s="20">
        <f t="shared" si="2"/>
        <v>0.08</v>
      </c>
      <c r="H135" s="20">
        <f t="shared" si="2"/>
        <v>0.08</v>
      </c>
      <c r="I135" s="20">
        <f t="shared" si="2"/>
        <v>0.08</v>
      </c>
      <c r="J135" s="20">
        <f t="shared" si="2"/>
        <v>0.08</v>
      </c>
      <c r="K135" s="20">
        <f t="shared" si="2"/>
        <v>0.08</v>
      </c>
      <c r="L135" s="20">
        <f t="shared" si="2"/>
        <v>0.08</v>
      </c>
      <c r="M135" s="20">
        <f t="shared" si="2"/>
        <v>0.08</v>
      </c>
      <c r="R135" s="4" t="s">
        <v>263</v>
      </c>
      <c r="S135" s="9" t="s">
        <v>124</v>
      </c>
    </row>
    <row r="136" spans="2:19" ht="17" x14ac:dyDescent="0.2">
      <c r="B136" s="6" t="s">
        <v>506</v>
      </c>
      <c r="C136" s="4" t="s">
        <v>507</v>
      </c>
      <c r="D136" s="21">
        <f t="shared" ref="D136:M136" si="3">D$115*D$116*(1-D$135)</f>
        <v>11978.4</v>
      </c>
      <c r="E136" s="21">
        <f t="shared" si="3"/>
        <v>17967.600000000002</v>
      </c>
      <c r="F136" s="21">
        <f t="shared" si="3"/>
        <v>19964</v>
      </c>
      <c r="G136" s="21">
        <f t="shared" si="3"/>
        <v>19964</v>
      </c>
      <c r="H136" s="21">
        <f t="shared" si="3"/>
        <v>19964</v>
      </c>
      <c r="I136" s="21">
        <f t="shared" si="3"/>
        <v>19964</v>
      </c>
      <c r="J136" s="21">
        <f t="shared" si="3"/>
        <v>19964</v>
      </c>
      <c r="K136" s="21">
        <f t="shared" si="3"/>
        <v>19964</v>
      </c>
      <c r="L136" s="21">
        <f t="shared" si="3"/>
        <v>19964</v>
      </c>
      <c r="M136" s="21">
        <f t="shared" si="3"/>
        <v>19964</v>
      </c>
      <c r="N136" s="52">
        <f>SUM(D136:M136)</f>
        <v>189658</v>
      </c>
      <c r="R136" s="4" t="s">
        <v>226</v>
      </c>
      <c r="S136" s="9" t="s">
        <v>124</v>
      </c>
    </row>
    <row r="137" spans="2:19" ht="17" x14ac:dyDescent="0.2">
      <c r="B137" s="6" t="s">
        <v>508</v>
      </c>
      <c r="C137" s="4" t="s">
        <v>460</v>
      </c>
      <c r="D137" s="21">
        <f t="shared" ref="D137:M137" si="4">IF($D$51="Weighed",D$117,IF($D$52&gt;0,D$136/$D$52,0))</f>
        <v>44364</v>
      </c>
      <c r="E137" s="21">
        <f t="shared" si="4"/>
        <v>66547</v>
      </c>
      <c r="F137" s="21">
        <f t="shared" si="4"/>
        <v>73941</v>
      </c>
      <c r="G137" s="21">
        <f t="shared" si="4"/>
        <v>73941</v>
      </c>
      <c r="H137" s="21">
        <f t="shared" si="4"/>
        <v>73941</v>
      </c>
      <c r="I137" s="21">
        <f t="shared" si="4"/>
        <v>73941</v>
      </c>
      <c r="J137" s="21">
        <f t="shared" si="4"/>
        <v>73941</v>
      </c>
      <c r="K137" s="21">
        <f t="shared" si="4"/>
        <v>73941</v>
      </c>
      <c r="L137" s="21">
        <f t="shared" si="4"/>
        <v>73941</v>
      </c>
      <c r="M137" s="21">
        <f t="shared" si="4"/>
        <v>73941</v>
      </c>
      <c r="N137" s="52">
        <f>SUM(D137:M137)</f>
        <v>702439</v>
      </c>
      <c r="R137" s="4" t="s">
        <v>226</v>
      </c>
      <c r="S137" s="9" t="s">
        <v>509</v>
      </c>
    </row>
    <row r="138" spans="2:19" ht="17" x14ac:dyDescent="0.2">
      <c r="B138" s="6" t="s">
        <v>510</v>
      </c>
      <c r="C138" s="4"/>
      <c r="D138" s="4" t="str">
        <f t="shared" ref="D138:M138" si="5">IF($D$53&lt;=0,"n/a",IF(D$137&gt;0,IF(D$136/D$137&gt;$D$53,"Above ceiling","OK"),"n/a"))</f>
        <v>OK</v>
      </c>
      <c r="E138" s="4" t="str">
        <f t="shared" si="5"/>
        <v>OK</v>
      </c>
      <c r="F138" s="4" t="str">
        <f t="shared" si="5"/>
        <v>OK</v>
      </c>
      <c r="G138" s="4" t="str">
        <f t="shared" si="5"/>
        <v>OK</v>
      </c>
      <c r="H138" s="4" t="str">
        <f t="shared" si="5"/>
        <v>OK</v>
      </c>
      <c r="I138" s="4" t="str">
        <f t="shared" si="5"/>
        <v>OK</v>
      </c>
      <c r="J138" s="4" t="str">
        <f t="shared" si="5"/>
        <v>OK</v>
      </c>
      <c r="K138" s="4" t="str">
        <f t="shared" si="5"/>
        <v>OK</v>
      </c>
      <c r="L138" s="4" t="str">
        <f t="shared" si="5"/>
        <v>OK</v>
      </c>
      <c r="M138" s="4" t="str">
        <f t="shared" si="5"/>
        <v>OK</v>
      </c>
      <c r="R138" s="4"/>
      <c r="S138" s="9" t="s">
        <v>511</v>
      </c>
    </row>
    <row r="139" spans="2:19" ht="30" customHeight="1" x14ac:dyDescent="0.2">
      <c r="B139" s="6" t="s">
        <v>512</v>
      </c>
      <c r="C139" s="4" t="s">
        <v>513</v>
      </c>
      <c r="D139" s="21">
        <f>D$136*$D$80*Defaults!$C$5</f>
        <v>35136.640000000029</v>
      </c>
      <c r="E139" s="21">
        <f>E$136*$D$80*Defaults!$C$5</f>
        <v>52704.960000000057</v>
      </c>
      <c r="F139" s="21">
        <f>F$136*$D$80*Defaults!$C$5</f>
        <v>58561.066666666724</v>
      </c>
      <c r="G139" s="21">
        <f>G$136*$D$80*Defaults!$C$5</f>
        <v>58561.066666666724</v>
      </c>
      <c r="H139" s="21">
        <f>H$136*$D$80*Defaults!$C$5</f>
        <v>58561.066666666724</v>
      </c>
      <c r="I139" s="21">
        <f>I$136*$D$80*Defaults!$C$5</f>
        <v>58561.066666666724</v>
      </c>
      <c r="J139" s="21">
        <f>J$136*$D$80*Defaults!$C$5</f>
        <v>58561.066666666724</v>
      </c>
      <c r="K139" s="21">
        <f>K$136*$D$80*Defaults!$C$5</f>
        <v>58561.066666666724</v>
      </c>
      <c r="L139" s="21">
        <f>L$136*$D$80*Defaults!$C$5</f>
        <v>58561.066666666724</v>
      </c>
      <c r="M139" s="21">
        <f>M$136*$D$80*Defaults!$C$5</f>
        <v>58561.066666666724</v>
      </c>
      <c r="N139" s="52">
        <f>SUM(D139:M139)</f>
        <v>556330.13333333377</v>
      </c>
      <c r="R139" s="4" t="s">
        <v>221</v>
      </c>
      <c r="S139" s="9" t="s">
        <v>514</v>
      </c>
    </row>
    <row r="140" spans="2:19" ht="17" x14ac:dyDescent="0.2">
      <c r="B140" s="35" t="s">
        <v>227</v>
      </c>
      <c r="C140" s="2" t="s">
        <v>515</v>
      </c>
      <c r="D140" s="26">
        <f t="shared" ref="D140:M140" si="6">D$139*$D$88*(1-$D$91)*(1-$D$36)</f>
        <v>27196.231949048997</v>
      </c>
      <c r="E140" s="26">
        <f t="shared" si="6"/>
        <v>40794.347923573507</v>
      </c>
      <c r="F140" s="26">
        <f t="shared" si="6"/>
        <v>45327.053248415003</v>
      </c>
      <c r="G140" s="26">
        <f t="shared" si="6"/>
        <v>45327.053248415003</v>
      </c>
      <c r="H140" s="26">
        <f t="shared" si="6"/>
        <v>45327.053248415003</v>
      </c>
      <c r="I140" s="26">
        <f t="shared" si="6"/>
        <v>45327.053248415003</v>
      </c>
      <c r="J140" s="26">
        <f t="shared" si="6"/>
        <v>45327.053248415003</v>
      </c>
      <c r="K140" s="26">
        <f t="shared" si="6"/>
        <v>45327.053248415003</v>
      </c>
      <c r="L140" s="26">
        <f t="shared" si="6"/>
        <v>45327.053248415003</v>
      </c>
      <c r="M140" s="26">
        <f t="shared" si="6"/>
        <v>45327.053248415003</v>
      </c>
      <c r="N140" s="26">
        <f>SUM(D140:M140)</f>
        <v>430607.00585994252</v>
      </c>
      <c r="R140" s="2" t="s">
        <v>221</v>
      </c>
      <c r="S140" s="27" t="s">
        <v>516</v>
      </c>
    </row>
    <row r="142" spans="2:19" ht="16" x14ac:dyDescent="0.2">
      <c r="B142" s="49" t="s">
        <v>203</v>
      </c>
    </row>
    <row r="143" spans="2:19" ht="17" x14ac:dyDescent="0.2">
      <c r="B143" s="6" t="s">
        <v>517</v>
      </c>
      <c r="C143" s="4" t="s">
        <v>518</v>
      </c>
      <c r="D143" s="57">
        <f>IF(LEFT($D$97,8)="Option A",IF($D$54="Moist (&gt; 24%) — not creditable",0,D$136*$D$98),IF(LEFT($D$97,8)="Option B",D$136*$D$100,IF(LEFT($D$97,7)="Track 2",D$120*Defaults!$C$22,D$121)))*$D$29</f>
        <v>328.16</v>
      </c>
      <c r="E143" s="57">
        <f>IF(LEFT($D$97,8)="Option A",IF($D$54="Moist (&gt; 24%) — not creditable",0,E$136*$D$98),IF(LEFT($D$97,8)="Option B",E$136*$D$100,IF(LEFT($D$97,7)="Track 2",E$120*Defaults!$C$22,E$121)))*$D$29</f>
        <v>492.23999999999995</v>
      </c>
      <c r="F143" s="57">
        <f>IF(LEFT($D$97,8)="Option A",IF($D$54="Moist (&gt; 24%) — not creditable",0,F$136*$D$98),IF(LEFT($D$97,8)="Option B",F$136*$D$100,IF(LEFT($D$97,7)="Track 2",F$120*Defaults!$C$22,F$121)))*$D$29</f>
        <v>546.84</v>
      </c>
      <c r="G143" s="57">
        <f>IF(LEFT($D$97,8)="Option A",IF($D$54="Moist (&gt; 24%) — not creditable",0,G$136*$D$98),IF(LEFT($D$97,8)="Option B",G$136*$D$100,IF(LEFT($D$97,7)="Track 2",G$120*Defaults!$C$22,G$121)))*$D$29</f>
        <v>546.84</v>
      </c>
      <c r="H143" s="57">
        <f>IF(LEFT($D$97,8)="Option A",IF($D$54="Moist (&gt; 24%) — not creditable",0,H$136*$D$98),IF(LEFT($D$97,8)="Option B",H$136*$D$100,IF(LEFT($D$97,7)="Track 2",H$120*Defaults!$C$22,H$121)))*$D$29</f>
        <v>546.84</v>
      </c>
      <c r="I143" s="57">
        <f>IF(LEFT($D$97,8)="Option A",IF($D$54="Moist (&gt; 24%) — not creditable",0,I$136*$D$98),IF(LEFT($D$97,8)="Option B",I$136*$D$100,IF(LEFT($D$97,7)="Track 2",I$120*Defaults!$C$22,I$121)))*$D$29</f>
        <v>546.84</v>
      </c>
      <c r="J143" s="57">
        <f>IF(LEFT($D$97,8)="Option A",IF($D$54="Moist (&gt; 24%) — not creditable",0,J$136*$D$98),IF(LEFT($D$97,8)="Option B",J$136*$D$100,IF(LEFT($D$97,7)="Track 2",J$120*Defaults!$C$22,J$121)))*$D$29</f>
        <v>546.84</v>
      </c>
      <c r="K143" s="57">
        <f>IF(LEFT($D$97,8)="Option A",IF($D$54="Moist (&gt; 24%) — not creditable",0,K$136*$D$98),IF(LEFT($D$97,8)="Option B",K$136*$D$100,IF(LEFT($D$97,7)="Track 2",K$120*Defaults!$C$22,K$121)))*$D$29</f>
        <v>546.84</v>
      </c>
      <c r="L143" s="57">
        <f>IF(LEFT($D$97,8)="Option A",IF($D$54="Moist (&gt; 24%) — not creditable",0,L$136*$D$98),IF(LEFT($D$97,8)="Option B",L$136*$D$100,IF(LEFT($D$97,7)="Track 2",L$120*Defaults!$C$22,L$121)))*$D$29</f>
        <v>546.84</v>
      </c>
      <c r="M143" s="57">
        <f>IF(LEFT($D$97,8)="Option A",IF($D$54="Moist (&gt; 24%) — not creditable",0,M$136*$D$98),IF(LEFT($D$97,8)="Option B",M$136*$D$100,IF(LEFT($D$97,7)="Track 2",M$120*Defaults!$C$22,M$121)))*$D$29</f>
        <v>546.84</v>
      </c>
      <c r="N143" s="54">
        <f t="shared" ref="N143:N151" si="7">SUM(D143:M143)</f>
        <v>5195.1200000000008</v>
      </c>
      <c r="R143" s="4" t="s">
        <v>221</v>
      </c>
      <c r="S143" s="9" t="s">
        <v>142</v>
      </c>
    </row>
    <row r="144" spans="2:19" ht="17" x14ac:dyDescent="0.2">
      <c r="B144" s="6" t="s">
        <v>519</v>
      </c>
      <c r="C144" s="4" t="s">
        <v>520</v>
      </c>
      <c r="D144" s="57">
        <f>IF(LEFT($D$104,9)="Small-hub",D$137*Defaults!$C$19,D$122*$D$101+D$123*$D$102)</f>
        <v>186.33999999999997</v>
      </c>
      <c r="E144" s="57">
        <f>IF(LEFT($D$104,9)="Small-hub",E$137*Defaults!$C$19,E$122*$D$101+E$123*$D$102)</f>
        <v>279.51</v>
      </c>
      <c r="F144" s="57">
        <f>IF(LEFT($D$104,9)="Small-hub",F$137*Defaults!$C$19,F$122*$D$101+F$123*$D$102)</f>
        <v>310.55499999999995</v>
      </c>
      <c r="G144" s="57">
        <f>IF(LEFT($D$104,9)="Small-hub",G$137*Defaults!$C$19,G$122*$D$101+G$123*$D$102)</f>
        <v>310.55499999999995</v>
      </c>
      <c r="H144" s="57">
        <f>IF(LEFT($D$104,9)="Small-hub",H$137*Defaults!$C$19,H$122*$D$101+H$123*$D$102)</f>
        <v>310.55499999999995</v>
      </c>
      <c r="I144" s="57">
        <f>IF(LEFT($D$104,9)="Small-hub",I$137*Defaults!$C$19,I$122*$D$101+I$123*$D$102)</f>
        <v>310.55499999999995</v>
      </c>
      <c r="J144" s="57">
        <f>IF(LEFT($D$104,9)="Small-hub",J$137*Defaults!$C$19,J$122*$D$101+J$123*$D$102)</f>
        <v>310.55499999999995</v>
      </c>
      <c r="K144" s="57">
        <f>IF(LEFT($D$104,9)="Small-hub",K$137*Defaults!$C$19,K$122*$D$101+K$123*$D$102)</f>
        <v>310.55499999999995</v>
      </c>
      <c r="L144" s="57">
        <f>IF(LEFT($D$104,9)="Small-hub",L$137*Defaults!$C$19,L$122*$D$101+L$123*$D$102)</f>
        <v>310.55499999999995</v>
      </c>
      <c r="M144" s="57">
        <f>IF(LEFT($D$104,9)="Small-hub",M$137*Defaults!$C$19,M$122*$D$101+M$123*$D$102)</f>
        <v>310.55499999999995</v>
      </c>
      <c r="N144" s="54">
        <f t="shared" si="7"/>
        <v>2950.2899999999991</v>
      </c>
      <c r="R144" s="4" t="s">
        <v>221</v>
      </c>
      <c r="S144" s="9" t="s">
        <v>137</v>
      </c>
    </row>
    <row r="145" spans="2:19" ht="17" x14ac:dyDescent="0.2">
      <c r="B145" s="6" t="s">
        <v>521</v>
      </c>
      <c r="C145" s="4" t="s">
        <v>466</v>
      </c>
      <c r="D145" s="57">
        <f>IF(LEFT($D$69,7)="Default",D$137*$D$70*Defaults!$C$24*Defaults!$C$25*$D$29*MAX(0,D$118),IF(LEFT($D$69,8)="Activity",D$119,0))</f>
        <v>0</v>
      </c>
      <c r="E145" s="57">
        <f>IF(LEFT($D$69,7)="Default",E$137*$D$70*Defaults!$C$24*Defaults!$C$25*$D$29*MAX(0,E$118),IF(LEFT($D$69,8)="Activity",E$119,0))</f>
        <v>0</v>
      </c>
      <c r="F145" s="57">
        <f>IF(LEFT($D$69,7)="Default",F$137*$D$70*Defaults!$C$24*Defaults!$C$25*$D$29*MAX(0,F$118),IF(LEFT($D$69,8)="Activity",F$119,0))</f>
        <v>0</v>
      </c>
      <c r="G145" s="57">
        <f>IF(LEFT($D$69,7)="Default",G$137*$D$70*Defaults!$C$24*Defaults!$C$25*$D$29*MAX(0,G$118),IF(LEFT($D$69,8)="Activity",G$119,0))</f>
        <v>0</v>
      </c>
      <c r="H145" s="57">
        <f>IF(LEFT($D$69,7)="Default",H$137*$D$70*Defaults!$C$24*Defaults!$C$25*$D$29*MAX(0,H$118),IF(LEFT($D$69,8)="Activity",H$119,0))</f>
        <v>0</v>
      </c>
      <c r="I145" s="57">
        <f>IF(LEFT($D$69,7)="Default",I$137*$D$70*Defaults!$C$24*Defaults!$C$25*$D$29*MAX(0,I$118),IF(LEFT($D$69,8)="Activity",I$119,0))</f>
        <v>0</v>
      </c>
      <c r="J145" s="57">
        <f>IF(LEFT($D$69,7)="Default",J$137*$D$70*Defaults!$C$24*Defaults!$C$25*$D$29*MAX(0,J$118),IF(LEFT($D$69,8)="Activity",J$119,0))</f>
        <v>0</v>
      </c>
      <c r="K145" s="57">
        <f>IF(LEFT($D$69,7)="Default",K$137*$D$70*Defaults!$C$24*Defaults!$C$25*$D$29*MAX(0,K$118),IF(LEFT($D$69,8)="Activity",K$119,0))</f>
        <v>0</v>
      </c>
      <c r="L145" s="57">
        <f>IF(LEFT($D$69,7)="Default",L$137*$D$70*Defaults!$C$24*Defaults!$C$25*$D$29*MAX(0,L$118),IF(LEFT($D$69,8)="Activity",L$119,0))</f>
        <v>0</v>
      </c>
      <c r="M145" s="57">
        <f>IF(LEFT($D$69,7)="Default",M$137*$D$70*Defaults!$C$24*Defaults!$C$25*$D$29*MAX(0,M$118),IF(LEFT($D$69,8)="Activity",M$119,0))</f>
        <v>0</v>
      </c>
      <c r="N145" s="54">
        <f t="shared" si="7"/>
        <v>0</v>
      </c>
      <c r="R145" s="4" t="s">
        <v>221</v>
      </c>
      <c r="S145" s="9" t="s">
        <v>137</v>
      </c>
    </row>
    <row r="146" spans="2:19" ht="17" x14ac:dyDescent="0.2">
      <c r="B146" s="6" t="s">
        <v>522</v>
      </c>
      <c r="C146" s="4" t="s">
        <v>482</v>
      </c>
      <c r="D146" s="57">
        <f t="shared" ref="D146:M146" si="8">D$124</f>
        <v>0</v>
      </c>
      <c r="E146" s="57">
        <f t="shared" si="8"/>
        <v>0</v>
      </c>
      <c r="F146" s="57">
        <f t="shared" si="8"/>
        <v>0</v>
      </c>
      <c r="G146" s="57">
        <f t="shared" si="8"/>
        <v>0</v>
      </c>
      <c r="H146" s="57">
        <f t="shared" si="8"/>
        <v>0</v>
      </c>
      <c r="I146" s="57">
        <f t="shared" si="8"/>
        <v>0</v>
      </c>
      <c r="J146" s="57">
        <f t="shared" si="8"/>
        <v>0</v>
      </c>
      <c r="K146" s="57">
        <f t="shared" si="8"/>
        <v>0</v>
      </c>
      <c r="L146" s="57">
        <f t="shared" si="8"/>
        <v>0</v>
      </c>
      <c r="M146" s="57">
        <f t="shared" si="8"/>
        <v>0</v>
      </c>
      <c r="N146" s="54">
        <f t="shared" si="7"/>
        <v>0</v>
      </c>
      <c r="R146" s="4" t="s">
        <v>221</v>
      </c>
      <c r="S146" s="9" t="s">
        <v>483</v>
      </c>
    </row>
    <row r="147" spans="2:19" ht="17" x14ac:dyDescent="0.2">
      <c r="B147" s="6" t="s">
        <v>523</v>
      </c>
      <c r="C147" s="4" t="s">
        <v>524</v>
      </c>
      <c r="D147" s="57">
        <f t="shared" ref="D147:M147" si="9">D$125*$D$101+D$126*$D$102</f>
        <v>280.19040000000001</v>
      </c>
      <c r="E147" s="57">
        <f t="shared" si="9"/>
        <v>420.28559999999999</v>
      </c>
      <c r="F147" s="57">
        <f t="shared" si="9"/>
        <v>466.98400000000004</v>
      </c>
      <c r="G147" s="57">
        <f t="shared" si="9"/>
        <v>466.98400000000004</v>
      </c>
      <c r="H147" s="57">
        <f t="shared" si="9"/>
        <v>466.98400000000004</v>
      </c>
      <c r="I147" s="57">
        <f t="shared" si="9"/>
        <v>466.98400000000004</v>
      </c>
      <c r="J147" s="57">
        <f t="shared" si="9"/>
        <v>466.98400000000004</v>
      </c>
      <c r="K147" s="57">
        <f t="shared" si="9"/>
        <v>466.98400000000004</v>
      </c>
      <c r="L147" s="57">
        <f t="shared" si="9"/>
        <v>466.98400000000004</v>
      </c>
      <c r="M147" s="57">
        <f t="shared" si="9"/>
        <v>466.98400000000004</v>
      </c>
      <c r="N147" s="54">
        <f t="shared" si="7"/>
        <v>4436.348</v>
      </c>
      <c r="R147" s="4" t="s">
        <v>221</v>
      </c>
      <c r="S147" s="9" t="s">
        <v>142</v>
      </c>
    </row>
    <row r="148" spans="2:19" ht="17" x14ac:dyDescent="0.2">
      <c r="B148" s="6" t="s">
        <v>525</v>
      </c>
      <c r="C148" s="4" t="s">
        <v>526</v>
      </c>
      <c r="D148" s="57">
        <f t="shared" ref="D148:M148" si="10">D$127*$D$103</f>
        <v>483.39503999999999</v>
      </c>
      <c r="E148" s="57">
        <f t="shared" si="10"/>
        <v>725.09244000000001</v>
      </c>
      <c r="F148" s="57">
        <f t="shared" si="10"/>
        <v>805.65827999999999</v>
      </c>
      <c r="G148" s="57">
        <f t="shared" si="10"/>
        <v>805.65827999999999</v>
      </c>
      <c r="H148" s="57">
        <f t="shared" si="10"/>
        <v>805.65827999999999</v>
      </c>
      <c r="I148" s="57">
        <f t="shared" si="10"/>
        <v>805.65827999999999</v>
      </c>
      <c r="J148" s="57">
        <f t="shared" si="10"/>
        <v>805.65827999999999</v>
      </c>
      <c r="K148" s="57">
        <f t="shared" si="10"/>
        <v>805.65827999999999</v>
      </c>
      <c r="L148" s="57">
        <f t="shared" si="10"/>
        <v>805.65827999999999</v>
      </c>
      <c r="M148" s="57">
        <f t="shared" si="10"/>
        <v>805.65827999999999</v>
      </c>
      <c r="N148" s="54">
        <f t="shared" si="7"/>
        <v>7653.7537199999988</v>
      </c>
      <c r="R148" s="4" t="s">
        <v>221</v>
      </c>
      <c r="S148" s="9" t="s">
        <v>146</v>
      </c>
    </row>
    <row r="149" spans="2:19" ht="17" x14ac:dyDescent="0.2">
      <c r="B149" s="6" t="s">
        <v>527</v>
      </c>
      <c r="C149" s="4" t="s">
        <v>528</v>
      </c>
      <c r="D149" s="57">
        <f t="shared" ref="D149:M149" si="11">D$128*$D$101+D$129</f>
        <v>48.154240000000001</v>
      </c>
      <c r="E149" s="57">
        <f t="shared" si="11"/>
        <v>72.228679999999997</v>
      </c>
      <c r="F149" s="57">
        <f t="shared" si="11"/>
        <v>80.255279999999999</v>
      </c>
      <c r="G149" s="57">
        <f t="shared" si="11"/>
        <v>80.255279999999999</v>
      </c>
      <c r="H149" s="57">
        <f t="shared" si="11"/>
        <v>80.255279999999999</v>
      </c>
      <c r="I149" s="57">
        <f t="shared" si="11"/>
        <v>80.255279999999999</v>
      </c>
      <c r="J149" s="57">
        <f t="shared" si="11"/>
        <v>80.255279999999999</v>
      </c>
      <c r="K149" s="57">
        <f t="shared" si="11"/>
        <v>80.255279999999999</v>
      </c>
      <c r="L149" s="57">
        <f t="shared" si="11"/>
        <v>80.255279999999999</v>
      </c>
      <c r="M149" s="57">
        <f t="shared" si="11"/>
        <v>80.255279999999999</v>
      </c>
      <c r="N149" s="54">
        <f t="shared" si="7"/>
        <v>762.42515999999978</v>
      </c>
      <c r="R149" s="4" t="s">
        <v>221</v>
      </c>
      <c r="S149" s="9" t="s">
        <v>149</v>
      </c>
    </row>
    <row r="150" spans="2:19" ht="17" x14ac:dyDescent="0.2">
      <c r="B150" s="6" t="s">
        <v>529</v>
      </c>
      <c r="C150" s="4"/>
      <c r="D150" s="57">
        <f t="shared" ref="D150:M150" si="12">D$143+D$144+D$145+D$146+D$147+D$148+D$149</f>
        <v>1326.2396799999999</v>
      </c>
      <c r="E150" s="57">
        <f t="shared" si="12"/>
        <v>1989.35672</v>
      </c>
      <c r="F150" s="57">
        <f t="shared" si="12"/>
        <v>2210.2925599999999</v>
      </c>
      <c r="G150" s="57">
        <f t="shared" si="12"/>
        <v>2210.2925599999999</v>
      </c>
      <c r="H150" s="57">
        <f t="shared" si="12"/>
        <v>2210.2925599999999</v>
      </c>
      <c r="I150" s="57">
        <f t="shared" si="12"/>
        <v>2210.2925599999999</v>
      </c>
      <c r="J150" s="57">
        <f t="shared" si="12"/>
        <v>2210.2925599999999</v>
      </c>
      <c r="K150" s="57">
        <f t="shared" si="12"/>
        <v>2210.2925599999999</v>
      </c>
      <c r="L150" s="57">
        <f t="shared" si="12"/>
        <v>2210.2925599999999</v>
      </c>
      <c r="M150" s="57">
        <f t="shared" si="12"/>
        <v>2210.2925599999999</v>
      </c>
      <c r="N150" s="54">
        <f t="shared" si="7"/>
        <v>20997.936880000001</v>
      </c>
      <c r="R150" s="4" t="s">
        <v>221</v>
      </c>
      <c r="S150" s="9" t="s">
        <v>134</v>
      </c>
    </row>
    <row r="151" spans="2:19" ht="17" x14ac:dyDescent="0.2">
      <c r="B151" s="35" t="s">
        <v>228</v>
      </c>
      <c r="C151" s="2" t="s">
        <v>530</v>
      </c>
      <c r="D151" s="26">
        <f t="shared" ref="D151:M151" si="13">D$150*(1+$D$37)</f>
        <v>1352.7644736</v>
      </c>
      <c r="E151" s="26">
        <f t="shared" si="13"/>
        <v>2029.1438544</v>
      </c>
      <c r="F151" s="26">
        <f t="shared" si="13"/>
        <v>2254.4984111999997</v>
      </c>
      <c r="G151" s="26">
        <f t="shared" si="13"/>
        <v>2254.4984111999997</v>
      </c>
      <c r="H151" s="26">
        <f t="shared" si="13"/>
        <v>2254.4984111999997</v>
      </c>
      <c r="I151" s="26">
        <f t="shared" si="13"/>
        <v>2254.4984111999997</v>
      </c>
      <c r="J151" s="26">
        <f t="shared" si="13"/>
        <v>2254.4984111999997</v>
      </c>
      <c r="K151" s="26">
        <f t="shared" si="13"/>
        <v>2254.4984111999997</v>
      </c>
      <c r="L151" s="26">
        <f t="shared" si="13"/>
        <v>2254.4984111999997</v>
      </c>
      <c r="M151" s="26">
        <f t="shared" si="13"/>
        <v>2254.4984111999997</v>
      </c>
      <c r="N151" s="26">
        <f t="shared" si="7"/>
        <v>21417.895617599996</v>
      </c>
      <c r="R151" s="2" t="s">
        <v>221</v>
      </c>
      <c r="S151" s="27" t="s">
        <v>531</v>
      </c>
    </row>
    <row r="153" spans="2:19" ht="16" x14ac:dyDescent="0.2">
      <c r="B153" s="49" t="s">
        <v>204</v>
      </c>
    </row>
    <row r="154" spans="2:19" ht="30" customHeight="1" x14ac:dyDescent="0.2">
      <c r="B154" s="6" t="s">
        <v>532</v>
      </c>
      <c r="C154" s="4" t="s">
        <v>432</v>
      </c>
      <c r="D154" s="57">
        <f>IF($D$109="Option B (inventory)",IF(1&lt;=$D$25,$D$108*D$115,0),IF(1&lt;=$D$25,D$136*IF($D$21="Track 1",Defaults!$C$20,Defaults!$C$21),0))</f>
        <v>650</v>
      </c>
      <c r="E154" s="57">
        <f>IF($D$109="Option B (inventory)",IF(2&lt;=$D$25,$D$108*E$115,0),IF(2&lt;=$D$25,E$136*IF($D$21="Track 1",Defaults!$C$20,Defaults!$C$21),0))</f>
        <v>650</v>
      </c>
      <c r="F154" s="57">
        <f>IF($D$109="Option B (inventory)",IF(3&lt;=$D$25,$D$108*F$115,0),IF(3&lt;=$D$25,F$136*IF($D$21="Track 1",Defaults!$C$20,Defaults!$C$21),0))</f>
        <v>650</v>
      </c>
      <c r="G154" s="57">
        <f>IF($D$109="Option B (inventory)",IF(4&lt;=$D$25,$D$108*G$115,0),IF(4&lt;=$D$25,G$136*IF($D$21="Track 1",Defaults!$C$20,Defaults!$C$21),0))</f>
        <v>650</v>
      </c>
      <c r="H154" s="57">
        <f>IF($D$109="Option B (inventory)",IF(5&lt;=$D$25,$D$108*H$115,0),IF(5&lt;=$D$25,H$136*IF($D$21="Track 1",Defaults!$C$20,Defaults!$C$21),0))</f>
        <v>650</v>
      </c>
      <c r="I154" s="57">
        <f>IF($D$109="Option B (inventory)",IF(6&lt;=$D$25,$D$108*I$115,0),IF(6&lt;=$D$25,I$136*IF($D$21="Track 1",Defaults!$C$20,Defaults!$C$21),0))</f>
        <v>0</v>
      </c>
      <c r="J154" s="57">
        <f>IF($D$109="Option B (inventory)",IF(7&lt;=$D$25,$D$108*J$115,0),IF(7&lt;=$D$25,J$136*IF($D$21="Track 1",Defaults!$C$20,Defaults!$C$21),0))</f>
        <v>0</v>
      </c>
      <c r="K154" s="57">
        <f>IF($D$109="Option B (inventory)",IF(8&lt;=$D$25,$D$108*K$115,0),IF(8&lt;=$D$25,K$136*IF($D$21="Track 1",Defaults!$C$20,Defaults!$C$21),0))</f>
        <v>0</v>
      </c>
      <c r="L154" s="57">
        <f>IF($D$109="Option B (inventory)",IF(9&lt;=$D$25,$D$108*L$115,0),IF(9&lt;=$D$25,L$136*IF($D$21="Track 1",Defaults!$C$20,Defaults!$C$21),0))</f>
        <v>0</v>
      </c>
      <c r="M154" s="57">
        <f>IF($D$109="Option B (inventory)",IF(10&lt;=$D$25,$D$108*M$115,0),IF(10&lt;=$D$25,M$136*IF($D$21="Track 1",Defaults!$C$20,Defaults!$C$21),0))</f>
        <v>0</v>
      </c>
      <c r="N154" s="54">
        <f t="shared" ref="N154:N159" si="14">SUM(D154:M154)</f>
        <v>3250</v>
      </c>
      <c r="R154" s="4" t="s">
        <v>221</v>
      </c>
      <c r="S154" s="9" t="s">
        <v>436</v>
      </c>
    </row>
    <row r="155" spans="2:19" ht="17" x14ac:dyDescent="0.2">
      <c r="B155" s="6" t="s">
        <v>533</v>
      </c>
      <c r="C155" s="4" t="s">
        <v>534</v>
      </c>
      <c r="D155" s="57">
        <f>IF($D$55="Yes",0,D$130*IF(LEFT($D$56,6)="Fodder",$D$57,INDEX(Defaults!$C$74:$C$79,MATCH($D$56,Defaults!$B$74:$B$79,0))))</f>
        <v>0</v>
      </c>
      <c r="E155" s="57">
        <f>IF($D$55="Yes",0,E$130*IF(LEFT($D$56,6)="Fodder",$D$57,INDEX(Defaults!$C$74:$C$79,MATCH($D$56,Defaults!$B$74:$B$79,0))))</f>
        <v>0</v>
      </c>
      <c r="F155" s="57">
        <f>IF($D$55="Yes",0,F$130*IF(LEFT($D$56,6)="Fodder",$D$57,INDEX(Defaults!$C$74:$C$79,MATCH($D$56,Defaults!$B$74:$B$79,0))))</f>
        <v>0</v>
      </c>
      <c r="G155" s="57">
        <f>IF($D$55="Yes",0,G$130*IF(LEFT($D$56,6)="Fodder",$D$57,INDEX(Defaults!$C$74:$C$79,MATCH($D$56,Defaults!$B$74:$B$79,0))))</f>
        <v>0</v>
      </c>
      <c r="H155" s="57">
        <f>IF($D$55="Yes",0,H$130*IF(LEFT($D$56,6)="Fodder",$D$57,INDEX(Defaults!$C$74:$C$79,MATCH($D$56,Defaults!$B$74:$B$79,0))))</f>
        <v>0</v>
      </c>
      <c r="I155" s="57">
        <f>IF($D$55="Yes",0,I$130*IF(LEFT($D$56,6)="Fodder",$D$57,INDEX(Defaults!$C$74:$C$79,MATCH($D$56,Defaults!$B$74:$B$79,0))))</f>
        <v>0</v>
      </c>
      <c r="J155" s="57">
        <f>IF($D$55="Yes",0,J$130*IF(LEFT($D$56,6)="Fodder",$D$57,INDEX(Defaults!$C$74:$C$79,MATCH($D$56,Defaults!$B$74:$B$79,0))))</f>
        <v>0</v>
      </c>
      <c r="K155" s="57">
        <f>IF($D$55="Yes",0,K$130*IF(LEFT($D$56,6)="Fodder",$D$57,INDEX(Defaults!$C$74:$C$79,MATCH($D$56,Defaults!$B$74:$B$79,0))))</f>
        <v>0</v>
      </c>
      <c r="L155" s="57">
        <f>IF($D$55="Yes",0,L$130*IF(LEFT($D$56,6)="Fodder",$D$57,INDEX(Defaults!$C$74:$C$79,MATCH($D$56,Defaults!$B$74:$B$79,0))))</f>
        <v>0</v>
      </c>
      <c r="M155" s="57">
        <f>IF($D$55="Yes",0,M$130*IF(LEFT($D$56,6)="Fodder",$D$57,INDEX(Defaults!$C$74:$C$79,MATCH($D$56,Defaults!$B$74:$B$79,0))))</f>
        <v>0</v>
      </c>
      <c r="N155" s="54">
        <f t="shared" si="14"/>
        <v>0</v>
      </c>
      <c r="R155" s="4" t="s">
        <v>221</v>
      </c>
      <c r="S155" s="9" t="s">
        <v>535</v>
      </c>
    </row>
    <row r="156" spans="2:19" ht="30" customHeight="1" x14ac:dyDescent="0.2">
      <c r="B156" s="6" t="s">
        <v>536</v>
      </c>
      <c r="C156" s="4"/>
      <c r="D156" s="57">
        <f>IF(AND(LEFT($D$23,2)="F1",LEFT($D$58,8)="Retained"),D$137*Defaults!$C$32,0)</f>
        <v>0</v>
      </c>
      <c r="E156" s="57">
        <f>IF(AND(LEFT($D$23,2)="F1",LEFT($D$58,8)="Retained"),E$137*Defaults!$C$32,0)</f>
        <v>0</v>
      </c>
      <c r="F156" s="57">
        <f>IF(AND(LEFT($D$23,2)="F1",LEFT($D$58,8)="Retained"),F$137*Defaults!$C$32,0)</f>
        <v>0</v>
      </c>
      <c r="G156" s="57">
        <f>IF(AND(LEFT($D$23,2)="F1",LEFT($D$58,8)="Retained"),G$137*Defaults!$C$32,0)</f>
        <v>0</v>
      </c>
      <c r="H156" s="57">
        <f>IF(AND(LEFT($D$23,2)="F1",LEFT($D$58,8)="Retained"),H$137*Defaults!$C$32,0)</f>
        <v>0</v>
      </c>
      <c r="I156" s="57">
        <f>IF(AND(LEFT($D$23,2)="F1",LEFT($D$58,8)="Retained"),I$137*Defaults!$C$32,0)</f>
        <v>0</v>
      </c>
      <c r="J156" s="57">
        <f>IF(AND(LEFT($D$23,2)="F1",LEFT($D$58,8)="Retained"),J$137*Defaults!$C$32,0)</f>
        <v>0</v>
      </c>
      <c r="K156" s="57">
        <f>IF(AND(LEFT($D$23,2)="F1",LEFT($D$58,8)="Retained"),K$137*Defaults!$C$32,0)</f>
        <v>0</v>
      </c>
      <c r="L156" s="57">
        <f>IF(AND(LEFT($D$23,2)="F1",LEFT($D$58,8)="Retained"),L$137*Defaults!$C$32,0)</f>
        <v>0</v>
      </c>
      <c r="M156" s="57">
        <f>IF(AND(LEFT($D$23,2)="F1",LEFT($D$58,8)="Retained"),M$137*Defaults!$C$32,0)</f>
        <v>0</v>
      </c>
      <c r="N156" s="54">
        <f t="shared" si="14"/>
        <v>0</v>
      </c>
      <c r="R156" s="4" t="s">
        <v>221</v>
      </c>
      <c r="S156" s="9" t="s">
        <v>537</v>
      </c>
    </row>
    <row r="157" spans="2:19" ht="30" customHeight="1" x14ac:dyDescent="0.2">
      <c r="B157" s="6" t="s">
        <v>538</v>
      </c>
      <c r="C157" s="4"/>
      <c r="D157" s="57">
        <f>IF(LEFT($D$23,2)&lt;&gt;"F1",0,IF(LEFT($D$58,7)="Removed",0,D$137*(IF(LEFT($D$58,8)="Retained",$D$65*Defaults!$C$33,0)+(1-$D$68)*($D$66*Defaults!$C$43+$D$67*Defaults!$C$44))))</f>
        <v>0</v>
      </c>
      <c r="E157" s="57">
        <f>IF(LEFT($D$23,2)&lt;&gt;"F1",0,IF(LEFT($D$58,7)="Removed",0,E$137*(IF(LEFT($D$58,8)="Retained",$D$65*Defaults!$C$33,0)+(1-$D$68)*($D$66*Defaults!$C$43+$D$67*Defaults!$C$44))))</f>
        <v>0</v>
      </c>
      <c r="F157" s="57">
        <f>IF(LEFT($D$23,2)&lt;&gt;"F1",0,IF(LEFT($D$58,7)="Removed",0,F$137*(IF(LEFT($D$58,8)="Retained",$D$65*Defaults!$C$33,0)+(1-$D$68)*($D$66*Defaults!$C$43+$D$67*Defaults!$C$44))))</f>
        <v>0</v>
      </c>
      <c r="G157" s="57">
        <f>IF(LEFT($D$23,2)&lt;&gt;"F1",0,IF(LEFT($D$58,7)="Removed",0,G$137*(IF(LEFT($D$58,8)="Retained",$D$65*Defaults!$C$33,0)+(1-$D$68)*($D$66*Defaults!$C$43+$D$67*Defaults!$C$44))))</f>
        <v>0</v>
      </c>
      <c r="H157" s="57">
        <f>IF(LEFT($D$23,2)&lt;&gt;"F1",0,IF(LEFT($D$58,7)="Removed",0,H$137*(IF(LEFT($D$58,8)="Retained",$D$65*Defaults!$C$33,0)+(1-$D$68)*($D$66*Defaults!$C$43+$D$67*Defaults!$C$44))))</f>
        <v>0</v>
      </c>
      <c r="I157" s="57">
        <f>IF(LEFT($D$23,2)&lt;&gt;"F1",0,IF(LEFT($D$58,7)="Removed",0,I$137*(IF(LEFT($D$58,8)="Retained",$D$65*Defaults!$C$33,0)+(1-$D$68)*($D$66*Defaults!$C$43+$D$67*Defaults!$C$44))))</f>
        <v>0</v>
      </c>
      <c r="J157" s="57">
        <f>IF(LEFT($D$23,2)&lt;&gt;"F1",0,IF(LEFT($D$58,7)="Removed",0,J$137*(IF(LEFT($D$58,8)="Retained",$D$65*Defaults!$C$33,0)+(1-$D$68)*($D$66*Defaults!$C$43+$D$67*Defaults!$C$44))))</f>
        <v>0</v>
      </c>
      <c r="K157" s="57">
        <f>IF(LEFT($D$23,2)&lt;&gt;"F1",0,IF(LEFT($D$58,7)="Removed",0,K$137*(IF(LEFT($D$58,8)="Retained",$D$65*Defaults!$C$33,0)+(1-$D$68)*($D$66*Defaults!$C$43+$D$67*Defaults!$C$44))))</f>
        <v>0</v>
      </c>
      <c r="L157" s="57">
        <f>IF(LEFT($D$23,2)&lt;&gt;"F1",0,IF(LEFT($D$58,7)="Removed",0,L$137*(IF(LEFT($D$58,8)="Retained",$D$65*Defaults!$C$33,0)+(1-$D$68)*($D$66*Defaults!$C$43+$D$67*Defaults!$C$44))))</f>
        <v>0</v>
      </c>
      <c r="M157" s="57">
        <f>IF(LEFT($D$23,2)&lt;&gt;"F1",0,IF(LEFT($D$58,7)="Removed",0,M$137*(IF(LEFT($D$58,8)="Retained",$D$65*Defaults!$C$33,0)+(1-$D$68)*($D$66*Defaults!$C$43+$D$67*Defaults!$C$44))))</f>
        <v>0</v>
      </c>
      <c r="N157" s="54">
        <f t="shared" si="14"/>
        <v>0</v>
      </c>
      <c r="R157" s="4" t="s">
        <v>221</v>
      </c>
      <c r="S157" s="9" t="s">
        <v>539</v>
      </c>
    </row>
    <row r="158" spans="2:19" ht="17" x14ac:dyDescent="0.2">
      <c r="B158" s="6" t="s">
        <v>540</v>
      </c>
      <c r="C158" s="4"/>
      <c r="D158" s="57">
        <f t="shared" ref="D158:M158" si="15">D$154+D$155+D$156+D$157</f>
        <v>650</v>
      </c>
      <c r="E158" s="57">
        <f t="shared" si="15"/>
        <v>650</v>
      </c>
      <c r="F158" s="57">
        <f t="shared" si="15"/>
        <v>650</v>
      </c>
      <c r="G158" s="57">
        <f t="shared" si="15"/>
        <v>650</v>
      </c>
      <c r="H158" s="57">
        <f t="shared" si="15"/>
        <v>650</v>
      </c>
      <c r="I158" s="57">
        <f t="shared" si="15"/>
        <v>0</v>
      </c>
      <c r="J158" s="57">
        <f t="shared" si="15"/>
        <v>0</v>
      </c>
      <c r="K158" s="57">
        <f t="shared" si="15"/>
        <v>0</v>
      </c>
      <c r="L158" s="57">
        <f t="shared" si="15"/>
        <v>0</v>
      </c>
      <c r="M158" s="57">
        <f t="shared" si="15"/>
        <v>0</v>
      </c>
      <c r="N158" s="54">
        <f t="shared" si="14"/>
        <v>3250</v>
      </c>
      <c r="R158" s="4" t="s">
        <v>221</v>
      </c>
      <c r="S158" s="9" t="s">
        <v>230</v>
      </c>
    </row>
    <row r="159" spans="2:19" ht="17" x14ac:dyDescent="0.2">
      <c r="B159" s="35" t="s">
        <v>229</v>
      </c>
      <c r="C159" s="2" t="s">
        <v>541</v>
      </c>
      <c r="D159" s="26">
        <f t="shared" ref="D159:M159" si="16">D$158*(1+$D$38)</f>
        <v>650</v>
      </c>
      <c r="E159" s="26">
        <f t="shared" si="16"/>
        <v>650</v>
      </c>
      <c r="F159" s="26">
        <f t="shared" si="16"/>
        <v>650</v>
      </c>
      <c r="G159" s="26">
        <f t="shared" si="16"/>
        <v>650</v>
      </c>
      <c r="H159" s="26">
        <f t="shared" si="16"/>
        <v>650</v>
      </c>
      <c r="I159" s="26">
        <f t="shared" si="16"/>
        <v>0</v>
      </c>
      <c r="J159" s="26">
        <f t="shared" si="16"/>
        <v>0</v>
      </c>
      <c r="K159" s="26">
        <f t="shared" si="16"/>
        <v>0</v>
      </c>
      <c r="L159" s="26">
        <f t="shared" si="16"/>
        <v>0</v>
      </c>
      <c r="M159" s="26">
        <f t="shared" si="16"/>
        <v>0</v>
      </c>
      <c r="N159" s="26">
        <f t="shared" si="14"/>
        <v>3250</v>
      </c>
      <c r="R159" s="2" t="s">
        <v>221</v>
      </c>
      <c r="S159" s="27" t="s">
        <v>542</v>
      </c>
    </row>
    <row r="161" spans="2:19" ht="16" x14ac:dyDescent="0.2">
      <c r="B161" s="49" t="s">
        <v>543</v>
      </c>
    </row>
    <row r="162" spans="2:19" ht="17" x14ac:dyDescent="0.2">
      <c r="B162" s="6" t="s">
        <v>544</v>
      </c>
      <c r="C162" s="4" t="s">
        <v>545</v>
      </c>
      <c r="D162" s="21">
        <f>0</f>
        <v>0</v>
      </c>
      <c r="E162" s="21">
        <f>0</f>
        <v>0</v>
      </c>
      <c r="F162" s="21">
        <f>0</f>
        <v>0</v>
      </c>
      <c r="G162" s="21">
        <f>0</f>
        <v>0</v>
      </c>
      <c r="H162" s="21">
        <f>0</f>
        <v>0</v>
      </c>
      <c r="I162" s="21">
        <f>0</f>
        <v>0</v>
      </c>
      <c r="J162" s="21">
        <f>0</f>
        <v>0</v>
      </c>
      <c r="K162" s="21">
        <f>0</f>
        <v>0</v>
      </c>
      <c r="L162" s="21">
        <f>0</f>
        <v>0</v>
      </c>
      <c r="M162" s="21">
        <f>0</f>
        <v>0</v>
      </c>
      <c r="N162" s="52">
        <f>SUM(D162:M162)</f>
        <v>0</v>
      </c>
      <c r="R162" s="4" t="s">
        <v>221</v>
      </c>
      <c r="S162" s="9" t="s">
        <v>118</v>
      </c>
    </row>
    <row r="163" spans="2:19" ht="17" x14ac:dyDescent="0.2">
      <c r="B163" s="6" t="s">
        <v>546</v>
      </c>
      <c r="C163" s="4" t="s">
        <v>547</v>
      </c>
      <c r="D163" s="21">
        <f t="shared" ref="D163:M163" si="17">D$151+D$159</f>
        <v>2002.7644736</v>
      </c>
      <c r="E163" s="21">
        <f t="shared" si="17"/>
        <v>2679.1438544000002</v>
      </c>
      <c r="F163" s="21">
        <f t="shared" si="17"/>
        <v>2904.4984111999997</v>
      </c>
      <c r="G163" s="21">
        <f t="shared" si="17"/>
        <v>2904.4984111999997</v>
      </c>
      <c r="H163" s="21">
        <f t="shared" si="17"/>
        <v>2904.4984111999997</v>
      </c>
      <c r="I163" s="21">
        <f t="shared" si="17"/>
        <v>2254.4984111999997</v>
      </c>
      <c r="J163" s="21">
        <f t="shared" si="17"/>
        <v>2254.4984111999997</v>
      </c>
      <c r="K163" s="21">
        <f t="shared" si="17"/>
        <v>2254.4984111999997</v>
      </c>
      <c r="L163" s="21">
        <f t="shared" si="17"/>
        <v>2254.4984111999997</v>
      </c>
      <c r="M163" s="21">
        <f t="shared" si="17"/>
        <v>2254.4984111999997</v>
      </c>
      <c r="N163" s="52">
        <f>SUM(D163:M163)</f>
        <v>24667.895617599996</v>
      </c>
      <c r="R163" s="4" t="s">
        <v>221</v>
      </c>
      <c r="S163" s="9" t="s">
        <v>548</v>
      </c>
    </row>
    <row r="164" spans="2:19" ht="30" customHeight="1" x14ac:dyDescent="0.2">
      <c r="B164" s="6" t="s">
        <v>549</v>
      </c>
      <c r="C164" s="4" t="s">
        <v>550</v>
      </c>
      <c r="D164" s="58">
        <f>0</f>
        <v>0</v>
      </c>
      <c r="E164" s="58">
        <f t="shared" ref="E164:M164" si="18">IF(D$165&lt;0,D$165,IF(D$167="Fail",MAX(0,D$165),0))</f>
        <v>0</v>
      </c>
      <c r="F164" s="58">
        <f t="shared" si="18"/>
        <v>0</v>
      </c>
      <c r="G164" s="58">
        <f t="shared" si="18"/>
        <v>0</v>
      </c>
      <c r="H164" s="58">
        <f t="shared" si="18"/>
        <v>0</v>
      </c>
      <c r="I164" s="58">
        <f t="shared" si="18"/>
        <v>0</v>
      </c>
      <c r="J164" s="58">
        <f t="shared" si="18"/>
        <v>0</v>
      </c>
      <c r="K164" s="58">
        <f t="shared" si="18"/>
        <v>0</v>
      </c>
      <c r="L164" s="58">
        <f t="shared" si="18"/>
        <v>0</v>
      </c>
      <c r="M164" s="58">
        <f t="shared" si="18"/>
        <v>0</v>
      </c>
      <c r="R164" s="4" t="s">
        <v>221</v>
      </c>
      <c r="S164" s="9" t="s">
        <v>551</v>
      </c>
    </row>
    <row r="165" spans="2:19" ht="17" x14ac:dyDescent="0.2">
      <c r="B165" s="35" t="s">
        <v>552</v>
      </c>
      <c r="C165" s="2" t="s">
        <v>553</v>
      </c>
      <c r="D165" s="59">
        <f t="shared" ref="D165:M165" si="19">D$140-D$162-D$163+D$164</f>
        <v>25193.467475448997</v>
      </c>
      <c r="E165" s="59">
        <f t="shared" si="19"/>
        <v>38115.204069173509</v>
      </c>
      <c r="F165" s="59">
        <f t="shared" si="19"/>
        <v>42422.554837215001</v>
      </c>
      <c r="G165" s="59">
        <f t="shared" si="19"/>
        <v>42422.554837215001</v>
      </c>
      <c r="H165" s="59">
        <f t="shared" si="19"/>
        <v>42422.554837215001</v>
      </c>
      <c r="I165" s="59">
        <f t="shared" si="19"/>
        <v>43072.554837215001</v>
      </c>
      <c r="J165" s="59">
        <f t="shared" si="19"/>
        <v>43072.554837215001</v>
      </c>
      <c r="K165" s="59">
        <f t="shared" si="19"/>
        <v>43072.554837215001</v>
      </c>
      <c r="L165" s="59">
        <f t="shared" si="19"/>
        <v>43072.554837215001</v>
      </c>
      <c r="M165" s="59">
        <f t="shared" si="19"/>
        <v>43072.554837215001</v>
      </c>
      <c r="R165" s="2" t="s">
        <v>221</v>
      </c>
      <c r="S165" s="27" t="s">
        <v>554</v>
      </c>
    </row>
    <row r="166" spans="2:19" ht="17" x14ac:dyDescent="0.2">
      <c r="B166" s="6" t="s">
        <v>555</v>
      </c>
      <c r="C166" s="4" t="s">
        <v>556</v>
      </c>
      <c r="D166" s="60">
        <f t="shared" ref="D166:M166" si="20">IF(D$150&gt;0,D$139/D$150,IF(D$139&gt;0,999,0))</f>
        <v>26.493431413543615</v>
      </c>
      <c r="E166" s="60">
        <f t="shared" si="20"/>
        <v>26.493468702787531</v>
      </c>
      <c r="F166" s="60">
        <f t="shared" si="20"/>
        <v>26.494712838678119</v>
      </c>
      <c r="G166" s="60">
        <f t="shared" si="20"/>
        <v>26.494712838678119</v>
      </c>
      <c r="H166" s="60">
        <f t="shared" si="20"/>
        <v>26.494712838678119</v>
      </c>
      <c r="I166" s="60">
        <f t="shared" si="20"/>
        <v>26.494712838678119</v>
      </c>
      <c r="J166" s="60">
        <f t="shared" si="20"/>
        <v>26.494712838678119</v>
      </c>
      <c r="K166" s="60">
        <f t="shared" si="20"/>
        <v>26.494712838678119</v>
      </c>
      <c r="L166" s="60">
        <f t="shared" si="20"/>
        <v>26.494712838678119</v>
      </c>
      <c r="M166" s="60">
        <f t="shared" si="20"/>
        <v>26.494712838678119</v>
      </c>
      <c r="R166" s="4" t="s">
        <v>382</v>
      </c>
      <c r="S166" s="9" t="s">
        <v>514</v>
      </c>
    </row>
    <row r="167" spans="2:19" ht="17" x14ac:dyDescent="0.2">
      <c r="B167" s="6" t="s">
        <v>557</v>
      </c>
      <c r="C167" s="4"/>
      <c r="D167" s="4" t="str">
        <f>IF(D$115=0,"n/a",IF(D$166&gt;=Defaults!$C$6,"Pass","Fail"))</f>
        <v>Pass</v>
      </c>
      <c r="E167" s="4" t="str">
        <f>IF(E$115=0,"n/a",IF(E$166&gt;=Defaults!$C$6,"Pass","Fail"))</f>
        <v>Pass</v>
      </c>
      <c r="F167" s="4" t="str">
        <f>IF(F$115=0,"n/a",IF(F$166&gt;=Defaults!$C$6,"Pass","Fail"))</f>
        <v>Pass</v>
      </c>
      <c r="G167" s="4" t="str">
        <f>IF(G$115=0,"n/a",IF(G$166&gt;=Defaults!$C$6,"Pass","Fail"))</f>
        <v>Pass</v>
      </c>
      <c r="H167" s="4" t="str">
        <f>IF(H$115=0,"n/a",IF(H$166&gt;=Defaults!$C$6,"Pass","Fail"))</f>
        <v>Pass</v>
      </c>
      <c r="I167" s="4" t="str">
        <f>IF(I$115=0,"n/a",IF(I$166&gt;=Defaults!$C$6,"Pass","Fail"))</f>
        <v>Pass</v>
      </c>
      <c r="J167" s="4" t="str">
        <f>IF(J$115=0,"n/a",IF(J$166&gt;=Defaults!$C$6,"Pass","Fail"))</f>
        <v>Pass</v>
      </c>
      <c r="K167" s="4" t="str">
        <f>IF(K$115=0,"n/a",IF(K$166&gt;=Defaults!$C$6,"Pass","Fail"))</f>
        <v>Pass</v>
      </c>
      <c r="L167" s="4" t="str">
        <f>IF(L$115=0,"n/a",IF(L$166&gt;=Defaults!$C$6,"Pass","Fail"))</f>
        <v>Pass</v>
      </c>
      <c r="M167" s="4" t="str">
        <f>IF(M$115=0,"n/a",IF(M$166&gt;=Defaults!$C$6,"Pass","Fail"))</f>
        <v>Pass</v>
      </c>
      <c r="N167" s="61">
        <f>COUNTIF(D167:M167,"Fail")</f>
        <v>0</v>
      </c>
      <c r="R167" s="4"/>
      <c r="S167" s="9" t="s">
        <v>163</v>
      </c>
    </row>
    <row r="168" spans="2:19" ht="17" x14ac:dyDescent="0.2">
      <c r="B168" s="6" t="s">
        <v>558</v>
      </c>
      <c r="C168" s="4" t="s">
        <v>559</v>
      </c>
      <c r="D168" s="21">
        <f t="shared" ref="D168:M168" si="21">IF(D$167="Pass",MAX(0,D$165)*$D$46,0)</f>
        <v>881.77136164071476</v>
      </c>
      <c r="E168" s="21">
        <f t="shared" si="21"/>
        <v>1334.0321424210726</v>
      </c>
      <c r="F168" s="21">
        <f t="shared" si="21"/>
        <v>1484.7894193025249</v>
      </c>
      <c r="G168" s="21">
        <f t="shared" si="21"/>
        <v>1484.7894193025249</v>
      </c>
      <c r="H168" s="21">
        <f t="shared" si="21"/>
        <v>1484.7894193025249</v>
      </c>
      <c r="I168" s="21">
        <f t="shared" si="21"/>
        <v>1507.5394193025249</v>
      </c>
      <c r="J168" s="21">
        <f t="shared" si="21"/>
        <v>1507.5394193025249</v>
      </c>
      <c r="K168" s="21">
        <f t="shared" si="21"/>
        <v>1507.5394193025249</v>
      </c>
      <c r="L168" s="21">
        <f t="shared" si="21"/>
        <v>1507.5394193025249</v>
      </c>
      <c r="M168" s="21">
        <f t="shared" si="21"/>
        <v>1507.5394193025249</v>
      </c>
      <c r="N168" s="52">
        <f>SUM(D168:M168)</f>
        <v>14207.868858481983</v>
      </c>
      <c r="R168" s="4" t="s">
        <v>221</v>
      </c>
      <c r="S168" s="9" t="s">
        <v>560</v>
      </c>
    </row>
    <row r="169" spans="2:19" ht="17" x14ac:dyDescent="0.2">
      <c r="B169" s="6" t="s">
        <v>233</v>
      </c>
      <c r="C169" s="4" t="s">
        <v>561</v>
      </c>
      <c r="D169" s="21">
        <f t="shared" ref="D169:M169" si="22">IF(D$167="Pass",MAX(0,D$165)*D$132,0)</f>
        <v>314.91834344311246</v>
      </c>
      <c r="E169" s="21">
        <f t="shared" si="22"/>
        <v>476.44005086466888</v>
      </c>
      <c r="F169" s="21">
        <f t="shared" si="22"/>
        <v>530.28193546518753</v>
      </c>
      <c r="G169" s="21">
        <f t="shared" si="22"/>
        <v>530.28193546518753</v>
      </c>
      <c r="H169" s="21">
        <f t="shared" si="22"/>
        <v>530.28193546518753</v>
      </c>
      <c r="I169" s="21">
        <f t="shared" si="22"/>
        <v>538.40693546518753</v>
      </c>
      <c r="J169" s="21">
        <f t="shared" si="22"/>
        <v>538.40693546518753</v>
      </c>
      <c r="K169" s="21">
        <f t="shared" si="22"/>
        <v>538.40693546518753</v>
      </c>
      <c r="L169" s="21">
        <f t="shared" si="22"/>
        <v>538.40693546518753</v>
      </c>
      <c r="M169" s="21">
        <f t="shared" si="22"/>
        <v>538.40693546518753</v>
      </c>
      <c r="N169" s="52">
        <f>SUM(D169:M169)</f>
        <v>5074.2388780292813</v>
      </c>
      <c r="R169" s="4" t="s">
        <v>221</v>
      </c>
      <c r="S169" s="9" t="s">
        <v>562</v>
      </c>
    </row>
    <row r="170" spans="2:19" ht="17" x14ac:dyDescent="0.2">
      <c r="B170" s="6" t="s">
        <v>563</v>
      </c>
      <c r="C170" s="4" t="s">
        <v>564</v>
      </c>
      <c r="D170" s="21">
        <f t="shared" ref="D170:M170" si="23">IF(D$167="Pass",MAX(0,D$165-D$168-D$169),0)</f>
        <v>23996.777770365166</v>
      </c>
      <c r="E170" s="21">
        <f t="shared" si="23"/>
        <v>36304.731875887766</v>
      </c>
      <c r="F170" s="21">
        <f t="shared" si="23"/>
        <v>40407.483482447285</v>
      </c>
      <c r="G170" s="21">
        <f t="shared" si="23"/>
        <v>40407.483482447285</v>
      </c>
      <c r="H170" s="21">
        <f t="shared" si="23"/>
        <v>40407.483482447285</v>
      </c>
      <c r="I170" s="21">
        <f t="shared" si="23"/>
        <v>41026.608482447285</v>
      </c>
      <c r="J170" s="21">
        <f t="shared" si="23"/>
        <v>41026.608482447285</v>
      </c>
      <c r="K170" s="21">
        <f t="shared" si="23"/>
        <v>41026.608482447285</v>
      </c>
      <c r="L170" s="21">
        <f t="shared" si="23"/>
        <v>41026.608482447285</v>
      </c>
      <c r="M170" s="21">
        <f t="shared" si="23"/>
        <v>41026.608482447285</v>
      </c>
      <c r="N170" s="52">
        <f>SUM(D170:M170)</f>
        <v>386657.00250583119</v>
      </c>
      <c r="R170" s="4" t="s">
        <v>221</v>
      </c>
      <c r="S170" s="9" t="s">
        <v>565</v>
      </c>
    </row>
    <row r="171" spans="2:19" ht="30" customHeight="1" x14ac:dyDescent="0.2">
      <c r="B171" s="35" t="s">
        <v>566</v>
      </c>
      <c r="C171" s="2" t="s">
        <v>567</v>
      </c>
      <c r="D171" s="26">
        <f>IF($D$21="Track 1",MIN(Defaults!$C$46,D$170),D$170)</f>
        <v>23996.777770365166</v>
      </c>
      <c r="E171" s="26">
        <f>IF($D$21="Track 1",MIN(Defaults!$C$46,E$170),E$170)</f>
        <v>36304.731875887766</v>
      </c>
      <c r="F171" s="26">
        <f>IF($D$21="Track 1",MIN(Defaults!$C$46,F$170),F$170)</f>
        <v>40407.483482447285</v>
      </c>
      <c r="G171" s="26">
        <f>IF($D$21="Track 1",MIN(Defaults!$C$46,G$170),G$170)</f>
        <v>40407.483482447285</v>
      </c>
      <c r="H171" s="26">
        <f>IF($D$21="Track 1",MIN(Defaults!$C$46,H$170),H$170)</f>
        <v>40407.483482447285</v>
      </c>
      <c r="I171" s="26">
        <f>IF($D$21="Track 1",MIN(Defaults!$C$46,I$170),I$170)</f>
        <v>41026.608482447285</v>
      </c>
      <c r="J171" s="26">
        <f>IF($D$21="Track 1",MIN(Defaults!$C$46,J$170),J$170)</f>
        <v>41026.608482447285</v>
      </c>
      <c r="K171" s="26">
        <f>IF($D$21="Track 1",MIN(Defaults!$C$46,K$170),K$170)</f>
        <v>41026.608482447285</v>
      </c>
      <c r="L171" s="26">
        <f>IF($D$21="Track 1",MIN(Defaults!$C$46,L$170),L$170)</f>
        <v>41026.608482447285</v>
      </c>
      <c r="M171" s="26">
        <f>IF($D$21="Track 1",MIN(Defaults!$C$46,M$170),M$170)</f>
        <v>41026.608482447285</v>
      </c>
      <c r="N171" s="26">
        <f>SUM(D171:M171)</f>
        <v>386657.00250583119</v>
      </c>
      <c r="R171" s="2" t="s">
        <v>221</v>
      </c>
      <c r="S171" s="27" t="s">
        <v>568</v>
      </c>
    </row>
    <row r="172" spans="2:19" ht="30" customHeight="1" x14ac:dyDescent="0.2">
      <c r="B172" s="6" t="s">
        <v>569</v>
      </c>
      <c r="C172" s="4"/>
      <c r="D172" s="21">
        <f t="shared" ref="D172:M172" si="24">D$170-D$171</f>
        <v>0</v>
      </c>
      <c r="E172" s="21">
        <f t="shared" si="24"/>
        <v>0</v>
      </c>
      <c r="F172" s="21">
        <f t="shared" si="24"/>
        <v>0</v>
      </c>
      <c r="G172" s="21">
        <f t="shared" si="24"/>
        <v>0</v>
      </c>
      <c r="H172" s="21">
        <f t="shared" si="24"/>
        <v>0</v>
      </c>
      <c r="I172" s="21">
        <f t="shared" si="24"/>
        <v>0</v>
      </c>
      <c r="J172" s="21">
        <f t="shared" si="24"/>
        <v>0</v>
      </c>
      <c r="K172" s="21">
        <f t="shared" si="24"/>
        <v>0</v>
      </c>
      <c r="L172" s="21">
        <f t="shared" si="24"/>
        <v>0</v>
      </c>
      <c r="M172" s="21">
        <f t="shared" si="24"/>
        <v>0</v>
      </c>
      <c r="N172" s="52">
        <f>SUM(D172:M172)</f>
        <v>0</v>
      </c>
      <c r="R172" s="4" t="s">
        <v>221</v>
      </c>
      <c r="S172" s="9" t="s">
        <v>240</v>
      </c>
    </row>
  </sheetData>
  <sheetProtection password="8666" sheet="1" formatColumns="0" formatRows="0"/>
  <mergeCells count="1">
    <mergeCell ref="B3:F3"/>
  </mergeCells>
  <pageMargins left="0.75" right="0.75" top="1" bottom="1" header="0.511811023622047" footer="0.511811023622047"/>
  <pageSetup paperSize="9" orientation="portrait" horizontalDpi="300" verticalDpi="300"/>
  <extLst>
    <ext xmlns:x14="http://schemas.microsoft.com/office/spreadsheetml/2009/9/main" uri="{CCE6A557-97BC-4b89-ADB6-D9C93CAAB3DF}">
      <x14:dataValidations xmlns:xm="http://schemas.microsoft.com/office/excel/2006/main" count="18">
        <x14:dataValidation type="list" xr:uid="{00000000-0002-0000-0800-000000000000}">
          <x14:formula1>
            <xm:f>Lists!$B$2:$B$4</xm:f>
          </x14:formula1>
          <x14:formula2>
            <xm:f>0</xm:f>
          </x14:formula2>
          <xm:sqref>D21</xm:sqref>
        </x14:dataValidation>
        <x14:dataValidation type="list" xr:uid="{00000000-0002-0000-0800-000001000000}">
          <x14:formula1>
            <xm:f>Lists!$C$2:$C$4</xm:f>
          </x14:formula1>
          <x14:formula2>
            <xm:f>0</xm:f>
          </x14:formula2>
          <xm:sqref>D22</xm:sqref>
        </x14:dataValidation>
        <x14:dataValidation type="list" xr:uid="{00000000-0002-0000-0800-000002000000}">
          <x14:formula1>
            <xm:f>Lists!$D$2:$D$7</xm:f>
          </x14:formula1>
          <x14:formula2>
            <xm:f>0</xm:f>
          </x14:formula2>
          <xm:sqref>D23</xm:sqref>
        </x14:dataValidation>
        <x14:dataValidation type="list" xr:uid="{00000000-0002-0000-0800-000003000000}">
          <x14:formula1>
            <xm:f>Lists!$J$2:$J$3</xm:f>
          </x14:formula1>
          <x14:formula2>
            <xm:f>0</xm:f>
          </x14:formula2>
          <xm:sqref>D30 D90 D55</xm:sqref>
        </x14:dataValidation>
        <x14:dataValidation type="list" xr:uid="{00000000-0002-0000-0800-000004000000}">
          <x14:formula1>
            <xm:f>Lists!$P$2:$P$3</xm:f>
          </x14:formula1>
          <x14:formula2>
            <xm:f>0</xm:f>
          </x14:formula2>
          <xm:sqref>D45</xm:sqref>
        </x14:dataValidation>
        <x14:dataValidation type="list" xr:uid="{00000000-0002-0000-0800-000005000000}">
          <x14:formula1>
            <xm:f>Defaults!$B$52:$B$57</xm:f>
          </x14:formula1>
          <x14:formula2>
            <xm:f>0</xm:f>
          </x14:formula2>
          <xm:sqref>D50</xm:sqref>
        </x14:dataValidation>
        <x14:dataValidation type="list" xr:uid="{00000000-0002-0000-0800-000006000000}">
          <x14:formula1>
            <xm:f>Lists!$I$2:$I$3</xm:f>
          </x14:formula1>
          <x14:formula2>
            <xm:f>0</xm:f>
          </x14:formula2>
          <xm:sqref>D51</xm:sqref>
        </x14:dataValidation>
        <x14:dataValidation type="list" xr:uid="{00000000-0002-0000-0800-000007000000}">
          <x14:formula1>
            <xm:f>Lists!$G$2:$G$4</xm:f>
          </x14:formula1>
          <x14:formula2>
            <xm:f>0</xm:f>
          </x14:formula2>
          <xm:sqref>D54</xm:sqref>
        </x14:dataValidation>
        <x14:dataValidation type="list" xr:uid="{00000000-0002-0000-0800-000009000000}">
          <x14:formula1>
            <xm:f>Defaults!$B$74:$B$79</xm:f>
          </x14:formula1>
          <x14:formula2>
            <xm:f>0</xm:f>
          </x14:formula2>
          <xm:sqref>D56</xm:sqref>
        </x14:dataValidation>
        <x14:dataValidation type="list" xr:uid="{00000000-0002-0000-0800-00000A000000}">
          <x14:formula1>
            <xm:f>Lists!$L$2:$L$4</xm:f>
          </x14:formula1>
          <x14:formula2>
            <xm:f>0</xm:f>
          </x14:formula2>
          <xm:sqref>D58</xm:sqref>
        </x14:dataValidation>
        <x14:dataValidation type="list" xr:uid="{00000000-0002-0000-0800-00000B000000}">
          <x14:formula1>
            <xm:f>Lists!$O$2:$O$5</xm:f>
          </x14:formula1>
          <x14:formula2>
            <xm:f>0</xm:f>
          </x14:formula2>
          <xm:sqref>D61</xm:sqref>
        </x14:dataValidation>
        <x14:dataValidation type="list" xr:uid="{00000000-0002-0000-0800-00000C000000}">
          <x14:formula1>
            <xm:f>Lists!$Q$2:$Q$4</xm:f>
          </x14:formula1>
          <x14:formula2>
            <xm:f>0</xm:f>
          </x14:formula2>
          <xm:sqref>D69</xm:sqref>
        </x14:dataValidation>
        <x14:dataValidation type="list" xr:uid="{00000000-0002-0000-0800-00000D000000}">
          <x14:formula1>
            <xm:f>Lists!$K$2:$K$3</xm:f>
          </x14:formula1>
          <x14:formula2>
            <xm:f>0</xm:f>
          </x14:formula2>
          <xm:sqref>D74</xm:sqref>
        </x14:dataValidation>
        <x14:dataValidation type="list" xr:uid="{00000000-0002-0000-0800-00000E000000}">
          <x14:formula1>
            <xm:f>Lists!$E$2:$E$3</xm:f>
          </x14:formula1>
          <x14:formula2>
            <xm:f>0</xm:f>
          </x14:formula2>
          <xm:sqref>D77</xm:sqref>
        </x14:dataValidation>
        <x14:dataValidation type="list" xr:uid="{00000000-0002-0000-0800-00000F000000}">
          <x14:formula1>
            <xm:f>Lists!$F$2:$F$4</xm:f>
          </x14:formula1>
          <x14:formula2>
            <xm:f>0</xm:f>
          </x14:formula2>
          <xm:sqref>D84</xm:sqref>
        </x14:dataValidation>
        <x14:dataValidation type="list" xr:uid="{00000000-0002-0000-0800-000010000000}">
          <x14:formula1>
            <xm:f>Defaults!$B$67:$B$70</xm:f>
          </x14:formula1>
          <x14:formula2>
            <xm:f>0</xm:f>
          </x14:formula2>
          <xm:sqref>D89</xm:sqref>
        </x14:dataValidation>
        <x14:dataValidation type="list" xr:uid="{00000000-0002-0000-0800-000012000000}">
          <x14:formula1>
            <xm:f>Lists!$H$2:$H$5</xm:f>
          </x14:formula1>
          <x14:formula2>
            <xm:f>0</xm:f>
          </x14:formula2>
          <xm:sqref>D97</xm:sqref>
        </x14:dataValidation>
        <x14:dataValidation type="list" xr:uid="{00000000-0002-0000-0800-000013000000}">
          <x14:formula1>
            <xm:f>Lists!$N$2:$N$3</xm:f>
          </x14:formula1>
          <x14:formula2>
            <xm:f>0</xm:f>
          </x14:formula2>
          <xm:sqref>D104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S172"/>
  <sheetViews>
    <sheetView showGridLines="0" zoomScaleNormal="100" workbookViewId="0">
      <pane xSplit="2" ySplit="4" topLeftCell="C5" activePane="bottomRight" state="frozen"/>
      <selection pane="topRight" activeCell="C1" sqref="C1"/>
      <selection pane="bottomLeft" activeCell="A5" sqref="A5"/>
      <selection pane="bottomRight"/>
    </sheetView>
  </sheetViews>
  <sheetFormatPr baseColWidth="10" defaultColWidth="8.5" defaultRowHeight="15" x14ac:dyDescent="0.2"/>
  <cols>
    <col min="1" max="1" width="3.1640625" customWidth="1"/>
    <col min="2" max="2" width="64" customWidth="1"/>
    <col min="3" max="3" width="22" customWidth="1"/>
    <col min="4" max="14" width="13" customWidth="1"/>
    <col min="18" max="18" width="16" customWidth="1"/>
    <col min="19" max="19" width="40" customWidth="1"/>
  </cols>
  <sheetData>
    <row r="1" spans="2:6" ht="25.5" customHeight="1" x14ac:dyDescent="0.25">
      <c r="B1" s="14" t="s">
        <v>591</v>
      </c>
    </row>
    <row r="2" spans="2:6" ht="16" x14ac:dyDescent="0.2">
      <c r="B2" s="9" t="s">
        <v>212</v>
      </c>
    </row>
    <row r="3" spans="2:6" ht="109.5" customHeight="1" x14ac:dyDescent="0.2">
      <c r="B3" s="80" t="s">
        <v>592</v>
      </c>
      <c r="C3" s="80"/>
      <c r="D3" s="80"/>
      <c r="E3" s="80"/>
      <c r="F3" s="80"/>
    </row>
    <row r="5" spans="2:6" ht="16" x14ac:dyDescent="0.2">
      <c r="B5" s="10" t="s">
        <v>214</v>
      </c>
      <c r="C5" s="11"/>
      <c r="D5" s="11"/>
      <c r="E5" s="11"/>
      <c r="F5" s="11"/>
    </row>
    <row r="6" spans="2:6" ht="16" x14ac:dyDescent="0.2">
      <c r="B6" s="12" t="s">
        <v>215</v>
      </c>
      <c r="C6" s="12" t="s">
        <v>216</v>
      </c>
      <c r="D6" s="12" t="s">
        <v>217</v>
      </c>
      <c r="E6" s="12" t="s">
        <v>218</v>
      </c>
      <c r="F6" s="12" t="s">
        <v>219</v>
      </c>
    </row>
    <row r="7" spans="2:6" ht="16" x14ac:dyDescent="0.2">
      <c r="B7" s="2" t="s">
        <v>220</v>
      </c>
      <c r="C7" s="25"/>
      <c r="D7" s="26">
        <f>$N$171</f>
        <v>9036.0214159481347</v>
      </c>
      <c r="E7" s="2" t="s">
        <v>221</v>
      </c>
      <c r="F7" s="27" t="s">
        <v>222</v>
      </c>
    </row>
    <row r="8" spans="2:6" ht="16" x14ac:dyDescent="0.2">
      <c r="B8" s="2" t="s">
        <v>223</v>
      </c>
      <c r="C8" s="25"/>
      <c r="D8" s="22">
        <f>IF($N$136&gt;0,$N$171/$N$136,0)</f>
        <v>1.297999197866571</v>
      </c>
      <c r="E8" s="2" t="s">
        <v>224</v>
      </c>
      <c r="F8" s="27"/>
    </row>
    <row r="9" spans="2:6" ht="16" x14ac:dyDescent="0.2">
      <c r="B9" s="2" t="s">
        <v>225</v>
      </c>
      <c r="C9" s="25"/>
      <c r="D9" s="26">
        <f>$N$136</f>
        <v>6961.5</v>
      </c>
      <c r="E9" s="2" t="s">
        <v>226</v>
      </c>
      <c r="F9" s="27" t="s">
        <v>124</v>
      </c>
    </row>
    <row r="10" spans="2:6" ht="16" x14ac:dyDescent="0.2">
      <c r="B10" s="2" t="s">
        <v>227</v>
      </c>
      <c r="C10" s="25"/>
      <c r="D10" s="26">
        <f>$N$140</f>
        <v>11566.055851350013</v>
      </c>
      <c r="E10" s="2" t="s">
        <v>221</v>
      </c>
      <c r="F10" s="27" t="s">
        <v>121</v>
      </c>
    </row>
    <row r="11" spans="2:6" ht="16" x14ac:dyDescent="0.2">
      <c r="B11" s="2" t="s">
        <v>228</v>
      </c>
      <c r="C11" s="25"/>
      <c r="D11" s="26">
        <f>$N$151</f>
        <v>1133.9300700000001</v>
      </c>
      <c r="E11" s="2" t="s">
        <v>221</v>
      </c>
      <c r="F11" s="27" t="s">
        <v>134</v>
      </c>
    </row>
    <row r="12" spans="2:6" ht="16" x14ac:dyDescent="0.2">
      <c r="B12" s="2" t="s">
        <v>229</v>
      </c>
      <c r="C12" s="25"/>
      <c r="D12" s="26">
        <f>$N$159</f>
        <v>250.69320000000002</v>
      </c>
      <c r="E12" s="2" t="s">
        <v>221</v>
      </c>
      <c r="F12" s="27" t="s">
        <v>230</v>
      </c>
    </row>
    <row r="13" spans="2:6" ht="16" x14ac:dyDescent="0.2">
      <c r="B13" s="2" t="s">
        <v>231</v>
      </c>
      <c r="C13" s="25"/>
      <c r="D13" s="26">
        <f>$N$168</f>
        <v>1018.1432581350012</v>
      </c>
      <c r="E13" s="2" t="s">
        <v>221</v>
      </c>
      <c r="F13" s="27" t="s">
        <v>232</v>
      </c>
    </row>
    <row r="14" spans="2:6" ht="16" x14ac:dyDescent="0.2">
      <c r="B14" s="2" t="s">
        <v>233</v>
      </c>
      <c r="C14" s="25"/>
      <c r="D14" s="26">
        <f>$N$169</f>
        <v>127.26790726687516</v>
      </c>
      <c r="E14" s="2" t="s">
        <v>221</v>
      </c>
      <c r="F14" s="27" t="s">
        <v>234</v>
      </c>
    </row>
    <row r="15" spans="2:6" ht="16" x14ac:dyDescent="0.2">
      <c r="B15" s="2" t="s">
        <v>235</v>
      </c>
      <c r="C15" s="25"/>
      <c r="D15" s="28">
        <f>$N$167</f>
        <v>0</v>
      </c>
      <c r="E15" s="2" t="s">
        <v>236</v>
      </c>
      <c r="F15" s="27" t="s">
        <v>163</v>
      </c>
    </row>
    <row r="16" spans="2:6" ht="16" x14ac:dyDescent="0.2">
      <c r="B16" s="2" t="s">
        <v>237</v>
      </c>
      <c r="C16" s="25"/>
      <c r="D16" s="28">
        <f>COUNTIF(D165:M165,"&lt;0")</f>
        <v>0</v>
      </c>
      <c r="E16" s="2" t="s">
        <v>236</v>
      </c>
      <c r="F16" s="27" t="s">
        <v>238</v>
      </c>
    </row>
    <row r="17" spans="2:6" ht="16" x14ac:dyDescent="0.2">
      <c r="B17" s="2" t="s">
        <v>239</v>
      </c>
      <c r="C17" s="25"/>
      <c r="D17" s="26">
        <f>$N$172</f>
        <v>0</v>
      </c>
      <c r="E17" s="2" t="s">
        <v>221</v>
      </c>
      <c r="F17" s="27" t="s">
        <v>240</v>
      </c>
    </row>
    <row r="18" spans="2:6" ht="16" x14ac:dyDescent="0.2">
      <c r="B18" s="2" t="s">
        <v>241</v>
      </c>
      <c r="C18" s="25"/>
      <c r="D18" s="29" t="str">
        <f>IF(AND($D$83&lt;&gt;"Not creditable under Method 1 (H:Corg above 0.50)",$D$83&lt;&gt;"Track 1 default-route limit 0.40 exceeded — test the batch",$D$60&lt;&gt;"Below the 70% floor — residue not eligible",$D$93&lt;&gt;"Above the 50 t/ha cap",COUNTIF(D138:M138,"Above ceiling")=0,$D$110="OK"),"OK","Check Parts A to F: "&amp;$D$83&amp;"; "&amp;$D$60&amp;"; "&amp;$D$93&amp;"; mass-balance flags "&amp;COUNTIF(D138:M138,"Above ceiling")&amp;"; "&amp;$D$110)</f>
        <v>OK</v>
      </c>
      <c r="E18" s="2"/>
      <c r="F18" s="27"/>
    </row>
    <row r="19" spans="2:6" ht="16" x14ac:dyDescent="0.2">
      <c r="B19" s="10" t="s">
        <v>242</v>
      </c>
      <c r="C19" s="11"/>
      <c r="D19" s="11"/>
      <c r="E19" s="11"/>
      <c r="F19" s="11"/>
    </row>
    <row r="20" spans="2:6" ht="16" x14ac:dyDescent="0.2">
      <c r="B20" s="12" t="s">
        <v>215</v>
      </c>
      <c r="C20" s="12" t="s">
        <v>216</v>
      </c>
      <c r="D20" s="12" t="s">
        <v>217</v>
      </c>
      <c r="E20" s="12" t="s">
        <v>218</v>
      </c>
      <c r="F20" s="12" t="s">
        <v>219</v>
      </c>
    </row>
    <row r="21" spans="2:6" ht="51" x14ac:dyDescent="0.2">
      <c r="B21" s="6" t="s">
        <v>243</v>
      </c>
      <c r="C21" s="4"/>
      <c r="D21" s="30" t="s">
        <v>244</v>
      </c>
      <c r="E21" s="4"/>
      <c r="F21" s="1" t="s">
        <v>245</v>
      </c>
    </row>
    <row r="22" spans="2:6" ht="17" x14ac:dyDescent="0.2">
      <c r="B22" s="6" t="s">
        <v>179</v>
      </c>
      <c r="C22" s="4"/>
      <c r="D22" s="30" t="s">
        <v>246</v>
      </c>
      <c r="E22" s="4"/>
      <c r="F22" s="1" t="s">
        <v>247</v>
      </c>
    </row>
    <row r="23" spans="2:6" ht="17" x14ac:dyDescent="0.2">
      <c r="B23" s="6" t="s">
        <v>180</v>
      </c>
      <c r="C23" s="4"/>
      <c r="D23" s="30" t="s">
        <v>593</v>
      </c>
      <c r="E23" s="4"/>
      <c r="F23" s="1" t="s">
        <v>249</v>
      </c>
    </row>
    <row r="24" spans="2:6" ht="17" x14ac:dyDescent="0.2">
      <c r="B24" s="6" t="s">
        <v>250</v>
      </c>
      <c r="C24" s="4"/>
      <c r="D24" s="30" t="s">
        <v>594</v>
      </c>
      <c r="E24" s="4"/>
      <c r="F24" s="1" t="s">
        <v>240</v>
      </c>
    </row>
    <row r="25" spans="2:6" ht="30" customHeight="1" x14ac:dyDescent="0.2">
      <c r="B25" s="6" t="s">
        <v>252</v>
      </c>
      <c r="C25" s="4"/>
      <c r="D25" s="30">
        <v>5</v>
      </c>
      <c r="E25" s="4" t="s">
        <v>253</v>
      </c>
      <c r="F25" s="1" t="s">
        <v>254</v>
      </c>
    </row>
    <row r="26" spans="2:6" ht="45" customHeight="1" x14ac:dyDescent="0.2">
      <c r="B26" s="6" t="s">
        <v>255</v>
      </c>
      <c r="C26" s="4" t="s">
        <v>256</v>
      </c>
      <c r="D26" s="30"/>
      <c r="E26" s="4" t="s">
        <v>257</v>
      </c>
      <c r="F26" s="1" t="s">
        <v>258</v>
      </c>
    </row>
    <row r="27" spans="2:6" ht="30" customHeight="1" x14ac:dyDescent="0.2">
      <c r="B27" s="6" t="s">
        <v>259</v>
      </c>
      <c r="C27" s="4" t="s">
        <v>256</v>
      </c>
      <c r="D27" s="4">
        <f>ROUND(MIN(Defaults!$C$16,MAX(Defaults!$C$15,CEILING(IF(ISNUMBER($D$26),$D$26,Defaults!$C$14),1))),0)</f>
        <v>25</v>
      </c>
      <c r="E27" s="4" t="s">
        <v>257</v>
      </c>
      <c r="F27" s="1" t="s">
        <v>260</v>
      </c>
    </row>
    <row r="28" spans="2:6" ht="45" customHeight="1" x14ac:dyDescent="0.2">
      <c r="B28" s="6" t="s">
        <v>261</v>
      </c>
      <c r="C28" s="4" t="s">
        <v>262</v>
      </c>
      <c r="D28" s="31">
        <f>Defaults!$C$47</f>
        <v>1.2500000000000001E-2</v>
      </c>
      <c r="E28" s="4" t="s">
        <v>263</v>
      </c>
      <c r="F28" s="1" t="s">
        <v>264</v>
      </c>
    </row>
    <row r="29" spans="2:6" ht="17" x14ac:dyDescent="0.2">
      <c r="B29" s="6" t="s">
        <v>265</v>
      </c>
      <c r="C29" s="4" t="s">
        <v>266</v>
      </c>
      <c r="D29" s="3">
        <f>Defaults!$C$4</f>
        <v>28</v>
      </c>
      <c r="E29" s="4" t="s">
        <v>267</v>
      </c>
      <c r="F29" s="1" t="s">
        <v>268</v>
      </c>
    </row>
    <row r="30" spans="2:6" ht="45" customHeight="1" x14ac:dyDescent="0.2">
      <c r="B30" s="6" t="s">
        <v>269</v>
      </c>
      <c r="C30" s="4"/>
      <c r="D30" s="30" t="s">
        <v>270</v>
      </c>
      <c r="E30" s="4"/>
      <c r="F30" s="1" t="s">
        <v>271</v>
      </c>
    </row>
    <row r="31" spans="2:6" ht="30" customHeight="1" x14ac:dyDescent="0.2">
      <c r="B31" s="6" t="s">
        <v>272</v>
      </c>
      <c r="C31" s="4" t="s">
        <v>273</v>
      </c>
      <c r="D31" s="32">
        <v>0</v>
      </c>
      <c r="E31" s="4" t="s">
        <v>263</v>
      </c>
      <c r="F31" s="1" t="s">
        <v>274</v>
      </c>
    </row>
    <row r="32" spans="2:6" ht="51" x14ac:dyDescent="0.2">
      <c r="B32" s="6" t="s">
        <v>275</v>
      </c>
      <c r="C32" s="4" t="s">
        <v>276</v>
      </c>
      <c r="D32" s="32">
        <v>0</v>
      </c>
      <c r="E32" s="4" t="s">
        <v>263</v>
      </c>
      <c r="F32" s="1" t="s">
        <v>277</v>
      </c>
    </row>
    <row r="33" spans="2:6" ht="30" customHeight="1" x14ac:dyDescent="0.2">
      <c r="B33" s="6" t="s">
        <v>278</v>
      </c>
      <c r="C33" s="4" t="s">
        <v>279</v>
      </c>
      <c r="D33" s="32">
        <v>0</v>
      </c>
      <c r="E33" s="4" t="s">
        <v>263</v>
      </c>
      <c r="F33" s="1" t="s">
        <v>280</v>
      </c>
    </row>
    <row r="34" spans="2:6" ht="17" x14ac:dyDescent="0.2">
      <c r="B34" s="6" t="s">
        <v>281</v>
      </c>
      <c r="C34" s="4" t="s">
        <v>282</v>
      </c>
      <c r="D34" s="20">
        <f>SQRT($D$31^2+$D$32^2+$D$33^2)</f>
        <v>0</v>
      </c>
      <c r="E34" s="4" t="s">
        <v>263</v>
      </c>
      <c r="F34" s="1" t="s">
        <v>283</v>
      </c>
    </row>
    <row r="35" spans="2:6" ht="30" customHeight="1" x14ac:dyDescent="0.2">
      <c r="B35" s="6" t="s">
        <v>284</v>
      </c>
      <c r="C35" s="4" t="s">
        <v>282</v>
      </c>
      <c r="D35" s="32">
        <v>0</v>
      </c>
      <c r="E35" s="4" t="s">
        <v>263</v>
      </c>
      <c r="F35" s="1" t="s">
        <v>285</v>
      </c>
    </row>
    <row r="36" spans="2:6" ht="51" x14ac:dyDescent="0.2">
      <c r="B36" s="6" t="s">
        <v>286</v>
      </c>
      <c r="C36" s="4" t="s">
        <v>287</v>
      </c>
      <c r="D36" s="20">
        <f>IF($D$21="Track 1",Defaults!$C$7,IF($D$21="Track 2",IF($D$30="Yes",MAX(0,$D$34-Defaults!$C$9),Defaults!$C$8),MAX(0,$D$34-Defaults!$C$9)))</f>
        <v>0.05</v>
      </c>
      <c r="E36" s="4" t="s">
        <v>263</v>
      </c>
      <c r="F36" s="1" t="s">
        <v>288</v>
      </c>
    </row>
    <row r="37" spans="2:6" ht="34" x14ac:dyDescent="0.2">
      <c r="B37" s="6" t="s">
        <v>289</v>
      </c>
      <c r="C37" s="4" t="s">
        <v>290</v>
      </c>
      <c r="D37" s="20">
        <f>IF($D$21="Track 1",Defaults!$C$7,IF($D$21="Track 2",Defaults!$C$8,MAX(0,$D$35-Defaults!$C$10)))</f>
        <v>0.05</v>
      </c>
      <c r="E37" s="4" t="s">
        <v>263</v>
      </c>
      <c r="F37" s="1" t="s">
        <v>291</v>
      </c>
    </row>
    <row r="38" spans="2:6" ht="30" customHeight="1" x14ac:dyDescent="0.2">
      <c r="B38" s="6" t="s">
        <v>292</v>
      </c>
      <c r="C38" s="4" t="s">
        <v>293</v>
      </c>
      <c r="D38" s="33">
        <v>0</v>
      </c>
      <c r="E38" s="4" t="s">
        <v>263</v>
      </c>
      <c r="F38" s="1" t="s">
        <v>294</v>
      </c>
    </row>
    <row r="40" spans="2:6" ht="16" x14ac:dyDescent="0.2">
      <c r="B40" s="10" t="s">
        <v>295</v>
      </c>
      <c r="C40" s="11"/>
      <c r="D40" s="11"/>
      <c r="E40" s="11"/>
      <c r="F40" s="11"/>
    </row>
    <row r="41" spans="2:6" ht="16" x14ac:dyDescent="0.2">
      <c r="B41" s="12" t="s">
        <v>215</v>
      </c>
      <c r="C41" s="12" t="s">
        <v>216</v>
      </c>
      <c r="D41" s="12" t="s">
        <v>217</v>
      </c>
      <c r="E41" s="12" t="s">
        <v>218</v>
      </c>
      <c r="F41" s="12" t="s">
        <v>219</v>
      </c>
    </row>
    <row r="42" spans="2:6" ht="30" customHeight="1" x14ac:dyDescent="0.2">
      <c r="B42" s="6" t="s">
        <v>296</v>
      </c>
      <c r="C42" s="4"/>
      <c r="D42" s="34">
        <f>'Annex 7'!I20</f>
        <v>0</v>
      </c>
      <c r="E42" s="4" t="s">
        <v>263</v>
      </c>
      <c r="F42" s="1" t="s">
        <v>297</v>
      </c>
    </row>
    <row r="43" spans="2:6" ht="30" customHeight="1" x14ac:dyDescent="0.2">
      <c r="B43" s="6" t="s">
        <v>298</v>
      </c>
      <c r="C43" s="4"/>
      <c r="D43" s="34">
        <f>'Annex 7'!I21</f>
        <v>0</v>
      </c>
      <c r="E43" s="4" t="s">
        <v>263</v>
      </c>
      <c r="F43" s="1" t="s">
        <v>299</v>
      </c>
    </row>
    <row r="44" spans="2:6" ht="30" customHeight="1" x14ac:dyDescent="0.2">
      <c r="B44" s="6" t="s">
        <v>300</v>
      </c>
      <c r="C44" s="4" t="s">
        <v>301</v>
      </c>
      <c r="D44" s="34">
        <f>'Annex 7'!I23</f>
        <v>7.4999999999999997E-2</v>
      </c>
      <c r="E44" s="4" t="s">
        <v>263</v>
      </c>
      <c r="F44" s="1" t="s">
        <v>302</v>
      </c>
    </row>
    <row r="45" spans="2:6" ht="45" customHeight="1" x14ac:dyDescent="0.2">
      <c r="B45" s="6" t="s">
        <v>303</v>
      </c>
      <c r="C45" s="4"/>
      <c r="D45" s="30" t="s">
        <v>304</v>
      </c>
      <c r="E45" s="4"/>
      <c r="F45" s="1" t="s">
        <v>305</v>
      </c>
    </row>
    <row r="46" spans="2:6" ht="45" customHeight="1" x14ac:dyDescent="0.2">
      <c r="B46" s="35" t="s">
        <v>187</v>
      </c>
      <c r="C46" s="2" t="s">
        <v>301</v>
      </c>
      <c r="D46" s="24">
        <f>IF(LEFT($D$22,2)="A2",Defaults!$C$28,IF(LEFT($D$22,2)="A3",Defaults!$C$29,IF(OR($D$21="Track 1",AND($D$21="Track 2",LEFT($D$45,12)="Cancellation")),Defaults!$C$27,$D$44)))</f>
        <v>0.1</v>
      </c>
      <c r="E46" s="2" t="s">
        <v>263</v>
      </c>
      <c r="F46" s="36" t="s">
        <v>306</v>
      </c>
    </row>
    <row r="48" spans="2:6" ht="16" x14ac:dyDescent="0.2">
      <c r="B48" s="10" t="s">
        <v>307</v>
      </c>
      <c r="C48" s="11"/>
      <c r="D48" s="11"/>
      <c r="E48" s="11"/>
      <c r="F48" s="11"/>
    </row>
    <row r="49" spans="2:6" ht="16" x14ac:dyDescent="0.2">
      <c r="B49" s="12" t="s">
        <v>215</v>
      </c>
      <c r="C49" s="12" t="s">
        <v>216</v>
      </c>
      <c r="D49" s="12" t="s">
        <v>217</v>
      </c>
      <c r="E49" s="12" t="s">
        <v>218</v>
      </c>
      <c r="F49" s="12" t="s">
        <v>219</v>
      </c>
    </row>
    <row r="50" spans="2:6" ht="17" x14ac:dyDescent="0.2">
      <c r="B50" s="6" t="s">
        <v>308</v>
      </c>
      <c r="C50" s="4"/>
      <c r="D50" s="30" t="s">
        <v>595</v>
      </c>
      <c r="E50" s="4"/>
      <c r="F50" s="1" t="s">
        <v>310</v>
      </c>
    </row>
    <row r="51" spans="2:6" ht="30" customHeight="1" x14ac:dyDescent="0.2">
      <c r="B51" s="6" t="s">
        <v>311</v>
      </c>
      <c r="C51" s="4"/>
      <c r="D51" s="30" t="s">
        <v>581</v>
      </c>
      <c r="E51" s="4"/>
      <c r="F51" s="1" t="s">
        <v>313</v>
      </c>
    </row>
    <row r="52" spans="2:6" ht="34" x14ac:dyDescent="0.2">
      <c r="B52" s="6" t="s">
        <v>314</v>
      </c>
      <c r="C52" s="4" t="s">
        <v>315</v>
      </c>
      <c r="D52" s="37">
        <f>INDEX(Defaults!$D$52:$D$57,MATCH($D$50,Defaults!$B$52:$B$57,0))</f>
        <v>0.15</v>
      </c>
      <c r="E52" s="4" t="s">
        <v>316</v>
      </c>
      <c r="F52" s="1" t="s">
        <v>317</v>
      </c>
    </row>
    <row r="53" spans="2:6" ht="30" customHeight="1" x14ac:dyDescent="0.2">
      <c r="B53" s="6" t="s">
        <v>318</v>
      </c>
      <c r="C53" s="4" t="s">
        <v>319</v>
      </c>
      <c r="D53" s="37">
        <f>INDEX(Defaults!$E$52:$E$57,MATCH($D$50,Defaults!$B$52:$B$57,0))</f>
        <v>0.38</v>
      </c>
      <c r="E53" s="4" t="s">
        <v>320</v>
      </c>
      <c r="F53" s="1" t="s">
        <v>317</v>
      </c>
    </row>
    <row r="54" spans="2:6" ht="51" x14ac:dyDescent="0.2">
      <c r="B54" s="6" t="s">
        <v>321</v>
      </c>
      <c r="C54" s="4"/>
      <c r="D54" s="30" t="s">
        <v>322</v>
      </c>
      <c r="E54" s="4"/>
      <c r="F54" s="1" t="s">
        <v>323</v>
      </c>
    </row>
    <row r="55" spans="2:6" ht="34" x14ac:dyDescent="0.2">
      <c r="B55" s="6" t="s">
        <v>324</v>
      </c>
      <c r="C55" s="4"/>
      <c r="D55" s="30" t="s">
        <v>325</v>
      </c>
      <c r="E55" s="4"/>
      <c r="F55" s="1" t="s">
        <v>326</v>
      </c>
    </row>
    <row r="56" spans="2:6" ht="51" x14ac:dyDescent="0.2">
      <c r="B56" s="6" t="s">
        <v>327</v>
      </c>
      <c r="C56" s="4"/>
      <c r="D56" s="30" t="s">
        <v>328</v>
      </c>
      <c r="E56" s="4"/>
      <c r="F56" s="1" t="s">
        <v>329</v>
      </c>
    </row>
    <row r="57" spans="2:6" ht="30" customHeight="1" x14ac:dyDescent="0.2">
      <c r="B57" s="6" t="s">
        <v>330</v>
      </c>
      <c r="C57" s="4" t="s">
        <v>331</v>
      </c>
      <c r="D57" s="38">
        <v>0</v>
      </c>
      <c r="E57" s="4" t="s">
        <v>332</v>
      </c>
      <c r="F57" s="1" t="s">
        <v>333</v>
      </c>
    </row>
    <row r="58" spans="2:6" ht="45" customHeight="1" x14ac:dyDescent="0.2">
      <c r="B58" s="6" t="s">
        <v>334</v>
      </c>
      <c r="C58" s="4"/>
      <c r="D58" s="30" t="s">
        <v>596</v>
      </c>
      <c r="E58" s="4"/>
      <c r="F58" s="1" t="s">
        <v>336</v>
      </c>
    </row>
    <row r="59" spans="2:6" ht="30" customHeight="1" x14ac:dyDescent="0.2">
      <c r="B59" s="6" t="s">
        <v>337</v>
      </c>
      <c r="C59" s="4"/>
      <c r="D59" s="33">
        <v>0.7</v>
      </c>
      <c r="E59" s="4" t="s">
        <v>263</v>
      </c>
      <c r="F59" s="1" t="s">
        <v>338</v>
      </c>
    </row>
    <row r="60" spans="2:6" ht="34" x14ac:dyDescent="0.2">
      <c r="B60" s="6" t="s">
        <v>339</v>
      </c>
      <c r="C60" s="4"/>
      <c r="D60" s="4" t="str">
        <f>IF(LEFT($D$23,2)="F1",IF($D$59&lt;Defaults!$C$45,"Below the 70% floor — residue not eligible","OK"),"n/a")</f>
        <v>OK</v>
      </c>
      <c r="E60" s="4"/>
      <c r="F60" s="1" t="s">
        <v>340</v>
      </c>
    </row>
    <row r="61" spans="2:6" ht="68" x14ac:dyDescent="0.2">
      <c r="B61" s="6" t="s">
        <v>341</v>
      </c>
      <c r="C61" s="4"/>
      <c r="D61" s="30" t="s">
        <v>342</v>
      </c>
      <c r="E61" s="4"/>
      <c r="F61" s="1" t="s">
        <v>343</v>
      </c>
    </row>
    <row r="62" spans="2:6" ht="34" x14ac:dyDescent="0.2">
      <c r="B62" s="6" t="s">
        <v>344</v>
      </c>
      <c r="C62" s="4" t="s">
        <v>345</v>
      </c>
      <c r="D62" s="39">
        <v>8.0000000000000002E-3</v>
      </c>
      <c r="E62" s="4" t="s">
        <v>346</v>
      </c>
      <c r="F62" s="1" t="s">
        <v>347</v>
      </c>
    </row>
    <row r="63" spans="2:6" ht="34" x14ac:dyDescent="0.2">
      <c r="B63" s="6" t="s">
        <v>348</v>
      </c>
      <c r="C63" s="4" t="s">
        <v>349</v>
      </c>
      <c r="D63" s="40">
        <v>2.5000000000000001E-3</v>
      </c>
      <c r="E63" s="4" t="s">
        <v>350</v>
      </c>
      <c r="F63" s="1" t="s">
        <v>347</v>
      </c>
    </row>
    <row r="64" spans="2:6" ht="34" x14ac:dyDescent="0.2">
      <c r="B64" s="6" t="s">
        <v>351</v>
      </c>
      <c r="C64" s="4" t="s">
        <v>352</v>
      </c>
      <c r="D64" s="40">
        <v>1.4999999999999999E-2</v>
      </c>
      <c r="E64" s="4" t="s">
        <v>350</v>
      </c>
      <c r="F64" s="1" t="s">
        <v>347</v>
      </c>
    </row>
    <row r="65" spans="2:6" ht="17" x14ac:dyDescent="0.2">
      <c r="B65" s="6" t="s">
        <v>353</v>
      </c>
      <c r="C65" s="4" t="s">
        <v>345</v>
      </c>
      <c r="D65" s="41">
        <f>IF(LEFT($D$61,8)="Measured",$D$62,IF(RIGHT($D$61,6)="stover",Defaults!$C$34,IF(RIGHT($D$61,8)="residues",Defaults!$C$37,Defaults!$C$40)))</f>
        <v>8.0000000000000002E-3</v>
      </c>
      <c r="E65" s="4" t="s">
        <v>346</v>
      </c>
      <c r="F65" s="1" t="s">
        <v>154</v>
      </c>
    </row>
    <row r="66" spans="2:6" ht="17" x14ac:dyDescent="0.2">
      <c r="B66" s="6" t="s">
        <v>354</v>
      </c>
      <c r="C66" s="4" t="s">
        <v>349</v>
      </c>
      <c r="D66" s="42">
        <f>IF(LEFT($D$61,8)="Measured",$D$63,IF(RIGHT($D$61,6)="stover",Defaults!$C$35,IF(RIGHT($D$61,8)="residues",Defaults!$C$38,Defaults!$C$41)))</f>
        <v>3.0000000000000001E-3</v>
      </c>
      <c r="E66" s="4" t="s">
        <v>350</v>
      </c>
      <c r="F66" s="1" t="s">
        <v>154</v>
      </c>
    </row>
    <row r="67" spans="2:6" ht="17" x14ac:dyDescent="0.2">
      <c r="B67" s="6" t="s">
        <v>355</v>
      </c>
      <c r="C67" s="4" t="s">
        <v>352</v>
      </c>
      <c r="D67" s="42">
        <f>IF(LEFT($D$61,8)="Measured",$D$64,IF(RIGHT($D$61,6)="stover",Defaults!$C$36,IF(RIGHT($D$61,8)="residues",Defaults!$C$39,Defaults!$C$42)))</f>
        <v>1.4999999999999999E-2</v>
      </c>
      <c r="E67" s="4" t="s">
        <v>350</v>
      </c>
      <c r="F67" s="1" t="s">
        <v>154</v>
      </c>
    </row>
    <row r="68" spans="2:6" ht="30" customHeight="1" x14ac:dyDescent="0.2">
      <c r="B68" s="6" t="s">
        <v>356</v>
      </c>
      <c r="C68" s="4"/>
      <c r="D68" s="33">
        <v>0.6</v>
      </c>
      <c r="E68" s="4" t="s">
        <v>263</v>
      </c>
      <c r="F68" s="1" t="s">
        <v>357</v>
      </c>
    </row>
    <row r="69" spans="2:6" ht="45" customHeight="1" x14ac:dyDescent="0.2">
      <c r="B69" s="6" t="s">
        <v>358</v>
      </c>
      <c r="C69" s="4"/>
      <c r="D69" s="30" t="s">
        <v>359</v>
      </c>
      <c r="E69" s="4"/>
      <c r="F69" s="1" t="s">
        <v>360</v>
      </c>
    </row>
    <row r="70" spans="2:6" ht="17" x14ac:dyDescent="0.2">
      <c r="B70" s="6" t="s">
        <v>361</v>
      </c>
      <c r="C70" s="4" t="s">
        <v>362</v>
      </c>
      <c r="D70" s="38">
        <v>0.45</v>
      </c>
      <c r="E70" s="4" t="s">
        <v>363</v>
      </c>
      <c r="F70" s="1" t="s">
        <v>137</v>
      </c>
    </row>
    <row r="72" spans="2:6" ht="16" x14ac:dyDescent="0.2">
      <c r="B72" s="10" t="s">
        <v>364</v>
      </c>
      <c r="C72" s="11"/>
      <c r="D72" s="11"/>
      <c r="E72" s="11"/>
      <c r="F72" s="11"/>
    </row>
    <row r="73" spans="2:6" ht="16" x14ac:dyDescent="0.2">
      <c r="B73" s="12" t="s">
        <v>215</v>
      </c>
      <c r="C73" s="12" t="s">
        <v>216</v>
      </c>
      <c r="D73" s="12" t="s">
        <v>217</v>
      </c>
      <c r="E73" s="12" t="s">
        <v>218</v>
      </c>
      <c r="F73" s="12" t="s">
        <v>219</v>
      </c>
    </row>
    <row r="74" spans="2:6" ht="45" customHeight="1" x14ac:dyDescent="0.2">
      <c r="B74" s="6" t="s">
        <v>365</v>
      </c>
      <c r="C74" s="4"/>
      <c r="D74" s="30" t="s">
        <v>366</v>
      </c>
      <c r="E74" s="4"/>
      <c r="F74" s="1" t="s">
        <v>367</v>
      </c>
    </row>
    <row r="75" spans="2:6" ht="30" customHeight="1" x14ac:dyDescent="0.2">
      <c r="B75" s="6" t="s">
        <v>368</v>
      </c>
      <c r="C75" s="4" t="s">
        <v>369</v>
      </c>
      <c r="D75" s="32">
        <v>0.15</v>
      </c>
      <c r="E75" s="4" t="s">
        <v>263</v>
      </c>
      <c r="F75" s="1" t="s">
        <v>370</v>
      </c>
    </row>
    <row r="76" spans="2:6" ht="17" x14ac:dyDescent="0.2">
      <c r="B76" s="6" t="s">
        <v>371</v>
      </c>
      <c r="C76" s="4" t="s">
        <v>369</v>
      </c>
      <c r="D76" s="20">
        <f>IF($D$74="Measured",$D$75,Defaults!$C$23)</f>
        <v>0.15</v>
      </c>
      <c r="E76" s="4" t="s">
        <v>263</v>
      </c>
      <c r="F76" s="1" t="s">
        <v>124</v>
      </c>
    </row>
    <row r="77" spans="2:6" ht="17" x14ac:dyDescent="0.2">
      <c r="B77" s="6" t="s">
        <v>372</v>
      </c>
      <c r="C77" s="4"/>
      <c r="D77" s="30" t="s">
        <v>573</v>
      </c>
      <c r="E77" s="4"/>
      <c r="F77" s="1" t="s">
        <v>374</v>
      </c>
    </row>
    <row r="78" spans="2:6" ht="30" customHeight="1" x14ac:dyDescent="0.2">
      <c r="B78" s="6" t="s">
        <v>375</v>
      </c>
      <c r="C78" s="4" t="s">
        <v>376</v>
      </c>
      <c r="D78" s="39">
        <v>0.62</v>
      </c>
      <c r="E78" s="4" t="s">
        <v>363</v>
      </c>
      <c r="F78" s="1" t="s">
        <v>377</v>
      </c>
    </row>
    <row r="79" spans="2:6" ht="34" x14ac:dyDescent="0.2">
      <c r="B79" s="6" t="s">
        <v>378</v>
      </c>
      <c r="C79" s="4" t="s">
        <v>376</v>
      </c>
      <c r="D79" s="37">
        <f>INDEX(Defaults!$C$52:$C$57,MATCH($D$50,Defaults!$B$52:$B$57,0))</f>
        <v>0.45</v>
      </c>
      <c r="E79" s="4" t="s">
        <v>363</v>
      </c>
      <c r="F79" s="1" t="s">
        <v>379</v>
      </c>
    </row>
    <row r="80" spans="2:6" ht="17" x14ac:dyDescent="0.2">
      <c r="B80" s="6" t="s">
        <v>181</v>
      </c>
      <c r="C80" s="4" t="s">
        <v>376</v>
      </c>
      <c r="D80" s="16">
        <f>IF($D$77="Default (Table 21)",$D$79,$D$78)</f>
        <v>0.62</v>
      </c>
      <c r="E80" s="4" t="s">
        <v>363</v>
      </c>
      <c r="F80" s="1" t="s">
        <v>374</v>
      </c>
    </row>
    <row r="81" spans="2:6" ht="30" customHeight="1" x14ac:dyDescent="0.2">
      <c r="B81" s="6" t="s">
        <v>380</v>
      </c>
      <c r="C81" s="4" t="s">
        <v>381</v>
      </c>
      <c r="D81" s="38">
        <v>0.32</v>
      </c>
      <c r="E81" s="4" t="s">
        <v>382</v>
      </c>
      <c r="F81" s="1" t="s">
        <v>383</v>
      </c>
    </row>
    <row r="82" spans="2:6" ht="17" x14ac:dyDescent="0.2">
      <c r="B82" s="6" t="s">
        <v>384</v>
      </c>
      <c r="C82" s="4" t="s">
        <v>381</v>
      </c>
      <c r="D82" s="17">
        <f>IF(ISNUMBER($D$81),$D$81,Defaults!$C$17)</f>
        <v>0.32</v>
      </c>
      <c r="E82" s="4" t="s">
        <v>382</v>
      </c>
      <c r="F82" s="1" t="s">
        <v>130</v>
      </c>
    </row>
    <row r="83" spans="2:6" ht="17" x14ac:dyDescent="0.2">
      <c r="B83" s="6" t="s">
        <v>385</v>
      </c>
      <c r="C83" s="4"/>
      <c r="D83" s="4" t="str">
        <f>IF(LEFT($D$84,8)="Method 3","Not applicable (Method 3)",IF($D$82&gt;Defaults!$C$18,"Not creditable under Method 1 (H:Corg above 0.50)",IF(AND($D$21="Track 1",$D$82&gt;Defaults!$C$17),"Track 1 default-route limit 0.40 exceeded — test the batch","Eligible")))</f>
        <v>Eligible</v>
      </c>
      <c r="E83" s="4"/>
      <c r="F83" s="1" t="s">
        <v>240</v>
      </c>
    </row>
    <row r="84" spans="2:6" ht="17" x14ac:dyDescent="0.2">
      <c r="B84" s="6" t="s">
        <v>386</v>
      </c>
      <c r="C84" s="4"/>
      <c r="D84" s="30" t="s">
        <v>387</v>
      </c>
      <c r="E84" s="4"/>
      <c r="F84" s="1" t="s">
        <v>130</v>
      </c>
    </row>
    <row r="85" spans="2:6" ht="17" x14ac:dyDescent="0.2">
      <c r="B85" s="6" t="s">
        <v>388</v>
      </c>
      <c r="C85" s="4"/>
      <c r="D85" s="17">
        <f>ROUND(MIN(0.5,MAX(0.2,CEILING($D$82,0.05))),2)</f>
        <v>0.35</v>
      </c>
      <c r="E85" s="4" t="s">
        <v>382</v>
      </c>
      <c r="F85" s="1" t="s">
        <v>389</v>
      </c>
    </row>
    <row r="86" spans="2:6" ht="30" customHeight="1" x14ac:dyDescent="0.2">
      <c r="B86" s="6" t="s">
        <v>390</v>
      </c>
      <c r="C86" s="4" t="s">
        <v>391</v>
      </c>
      <c r="D86" s="41">
        <f>INDEX(Defaults!$C$121:$I$154,MATCH($D$27,Defaults!$B$121:$B$154,0),MATCH($D$85,Defaults!$C$120:$I$120,0))</f>
        <v>0.78500000000000003</v>
      </c>
      <c r="E86" s="4" t="s">
        <v>263</v>
      </c>
      <c r="F86" s="1" t="s">
        <v>392</v>
      </c>
    </row>
    <row r="87" spans="2:6" ht="30" customHeight="1" x14ac:dyDescent="0.2">
      <c r="B87" s="6" t="s">
        <v>393</v>
      </c>
      <c r="C87" s="4" t="s">
        <v>391</v>
      </c>
      <c r="D87" s="39">
        <v>0</v>
      </c>
      <c r="E87" s="4" t="s">
        <v>263</v>
      </c>
      <c r="F87" s="1" t="s">
        <v>394</v>
      </c>
    </row>
    <row r="88" spans="2:6" ht="17" x14ac:dyDescent="0.2">
      <c r="B88" s="35" t="s">
        <v>184</v>
      </c>
      <c r="C88" s="2" t="s">
        <v>391</v>
      </c>
      <c r="D88" s="43">
        <f>IF(LEFT($D$84,8)="Method 3",Defaults!$C$12,IF(LEFT($D$84,8)="Method 2",MIN(Defaults!$C$13,$D$87),IF($D$82&gt;Defaults!$C$18,0,$D$86)))</f>
        <v>0.78500000000000003</v>
      </c>
      <c r="E88" s="2" t="s">
        <v>263</v>
      </c>
      <c r="F88" s="36" t="s">
        <v>130</v>
      </c>
    </row>
    <row r="89" spans="2:6" ht="51" x14ac:dyDescent="0.2">
      <c r="B89" s="6" t="s">
        <v>395</v>
      </c>
      <c r="C89" s="4"/>
      <c r="D89" s="30" t="s">
        <v>396</v>
      </c>
      <c r="E89" s="4"/>
      <c r="F89" s="1" t="s">
        <v>397</v>
      </c>
    </row>
    <row r="90" spans="2:6" ht="30" customHeight="1" x14ac:dyDescent="0.2">
      <c r="B90" s="6" t="s">
        <v>398</v>
      </c>
      <c r="C90" s="4"/>
      <c r="D90" s="30" t="s">
        <v>270</v>
      </c>
      <c r="E90" s="4"/>
      <c r="F90" s="1" t="s">
        <v>399</v>
      </c>
    </row>
    <row r="91" spans="2:6" ht="51" x14ac:dyDescent="0.2">
      <c r="B91" s="6" t="s">
        <v>185</v>
      </c>
      <c r="C91" s="4" t="s">
        <v>400</v>
      </c>
      <c r="D91" s="19">
        <f>IF($D$90="Yes",0,INDEX(Defaults!$C$67:$C$70,MATCH($D$89,Defaults!$B$67:$B$70,0)))</f>
        <v>0.02</v>
      </c>
      <c r="E91" s="4" t="s">
        <v>263</v>
      </c>
      <c r="F91" s="1" t="s">
        <v>397</v>
      </c>
    </row>
    <row r="92" spans="2:6" ht="17" x14ac:dyDescent="0.2">
      <c r="B92" s="6" t="s">
        <v>401</v>
      </c>
      <c r="C92" s="4"/>
      <c r="D92" s="44">
        <v>3</v>
      </c>
      <c r="E92" s="4" t="s">
        <v>402</v>
      </c>
      <c r="F92" s="1" t="s">
        <v>403</v>
      </c>
    </row>
    <row r="93" spans="2:6" ht="17" x14ac:dyDescent="0.2">
      <c r="B93" s="6" t="s">
        <v>404</v>
      </c>
      <c r="C93" s="4"/>
      <c r="D93" s="4" t="str">
        <f>IF(LEFT($D$22,2)="A1",IF($D$92&gt;Defaults!$C$48,"Above the 50 t/ha cap","OK"),"n/a")</f>
        <v>OK</v>
      </c>
      <c r="E93" s="4"/>
      <c r="F93" s="1" t="s">
        <v>403</v>
      </c>
    </row>
    <row r="95" spans="2:6" ht="16" x14ac:dyDescent="0.2">
      <c r="B95" s="10" t="s">
        <v>405</v>
      </c>
      <c r="C95" s="11"/>
      <c r="D95" s="11"/>
      <c r="E95" s="11"/>
      <c r="F95" s="11"/>
    </row>
    <row r="96" spans="2:6" ht="16" x14ac:dyDescent="0.2">
      <c r="B96" s="12" t="s">
        <v>215</v>
      </c>
      <c r="C96" s="12" t="s">
        <v>216</v>
      </c>
      <c r="D96" s="12" t="s">
        <v>217</v>
      </c>
      <c r="E96" s="12" t="s">
        <v>218</v>
      </c>
      <c r="F96" s="12" t="s">
        <v>219</v>
      </c>
    </row>
    <row r="97" spans="2:19" ht="17" x14ac:dyDescent="0.2">
      <c r="B97" s="6" t="s">
        <v>406</v>
      </c>
      <c r="C97" s="4"/>
      <c r="D97" s="30" t="s">
        <v>407</v>
      </c>
      <c r="E97" s="4"/>
      <c r="F97" s="1" t="s">
        <v>142</v>
      </c>
    </row>
    <row r="98" spans="2:19" ht="34" x14ac:dyDescent="0.2">
      <c r="B98" s="6" t="s">
        <v>408</v>
      </c>
      <c r="C98" s="4" t="s">
        <v>409</v>
      </c>
      <c r="D98" s="42">
        <f>INDEX(Defaults!$C$61:$C$63,MATCH($D$54,Defaults!$B$61:$B$63,0))</f>
        <v>5.4999999999999997E-3</v>
      </c>
      <c r="E98" s="4" t="s">
        <v>410</v>
      </c>
      <c r="F98" s="1" t="s">
        <v>411</v>
      </c>
    </row>
    <row r="99" spans="2:19" ht="30" customHeight="1" x14ac:dyDescent="0.2">
      <c r="B99" s="6" t="s">
        <v>412</v>
      </c>
      <c r="C99" s="4" t="s">
        <v>409</v>
      </c>
      <c r="D99" s="40">
        <v>0</v>
      </c>
      <c r="E99" s="4" t="s">
        <v>410</v>
      </c>
      <c r="F99" s="1" t="s">
        <v>413</v>
      </c>
    </row>
    <row r="100" spans="2:19" ht="30" customHeight="1" x14ac:dyDescent="0.2">
      <c r="B100" s="6" t="s">
        <v>414</v>
      </c>
      <c r="C100" s="4" t="s">
        <v>409</v>
      </c>
      <c r="D100" s="45">
        <f>MAX($D$99,IF($D$98&gt;0,$D$98,Defaults!$C$26))</f>
        <v>5.4999999999999997E-3</v>
      </c>
      <c r="E100" s="4" t="s">
        <v>410</v>
      </c>
      <c r="F100" s="1" t="s">
        <v>413</v>
      </c>
    </row>
    <row r="101" spans="2:19" ht="30" customHeight="1" x14ac:dyDescent="0.2">
      <c r="B101" s="6" t="s">
        <v>415</v>
      </c>
      <c r="C101" s="4" t="s">
        <v>416</v>
      </c>
      <c r="D101" s="46">
        <v>2.6800000000000001E-3</v>
      </c>
      <c r="E101" s="4" t="s">
        <v>417</v>
      </c>
      <c r="F101" s="1" t="s">
        <v>418</v>
      </c>
    </row>
    <row r="102" spans="2:19" ht="30" customHeight="1" x14ac:dyDescent="0.2">
      <c r="B102" s="6" t="s">
        <v>419</v>
      </c>
      <c r="C102" s="4" t="s">
        <v>420</v>
      </c>
      <c r="D102" s="39">
        <v>0.7</v>
      </c>
      <c r="E102" s="4" t="s">
        <v>421</v>
      </c>
      <c r="F102" s="1" t="s">
        <v>422</v>
      </c>
    </row>
    <row r="103" spans="2:19" ht="45" customHeight="1" x14ac:dyDescent="0.2">
      <c r="B103" s="6" t="s">
        <v>423</v>
      </c>
      <c r="C103" s="4" t="s">
        <v>424</v>
      </c>
      <c r="D103" s="46">
        <v>1.2E-4</v>
      </c>
      <c r="E103" s="4" t="s">
        <v>425</v>
      </c>
      <c r="F103" s="1" t="s">
        <v>426</v>
      </c>
    </row>
    <row r="104" spans="2:19" ht="45" customHeight="1" x14ac:dyDescent="0.2">
      <c r="B104" s="6" t="s">
        <v>427</v>
      </c>
      <c r="C104" s="4"/>
      <c r="D104" s="30" t="s">
        <v>428</v>
      </c>
      <c r="E104" s="4"/>
      <c r="F104" s="1" t="s">
        <v>429</v>
      </c>
    </row>
    <row r="106" spans="2:19" ht="16" x14ac:dyDescent="0.2">
      <c r="B106" s="10" t="s">
        <v>430</v>
      </c>
      <c r="C106" s="11"/>
      <c r="D106" s="11"/>
      <c r="E106" s="11"/>
      <c r="F106" s="11"/>
    </row>
    <row r="107" spans="2:19" ht="16" x14ac:dyDescent="0.2">
      <c r="B107" s="12" t="s">
        <v>215</v>
      </c>
      <c r="C107" s="12" t="s">
        <v>216</v>
      </c>
      <c r="D107" s="12" t="s">
        <v>217</v>
      </c>
      <c r="E107" s="12" t="s">
        <v>218</v>
      </c>
      <c r="F107" s="12" t="s">
        <v>219</v>
      </c>
    </row>
    <row r="108" spans="2:19" ht="45" customHeight="1" x14ac:dyDescent="0.2">
      <c r="B108" s="6" t="s">
        <v>431</v>
      </c>
      <c r="C108" s="4" t="s">
        <v>432</v>
      </c>
      <c r="D108" s="47">
        <v>0</v>
      </c>
      <c r="E108" s="4" t="s">
        <v>433</v>
      </c>
      <c r="F108" s="1" t="s">
        <v>434</v>
      </c>
    </row>
    <row r="109" spans="2:19" ht="34" x14ac:dyDescent="0.2">
      <c r="B109" s="6" t="s">
        <v>435</v>
      </c>
      <c r="C109" s="4"/>
      <c r="D109" s="4" t="str">
        <f>IF($D$21="Track 3","Option B (inventory)",IF($D$108&gt;0,"Option B (inventory)","Option A (default per tonne)"))</f>
        <v>Option A (default per tonne)</v>
      </c>
      <c r="E109" s="4"/>
      <c r="F109" s="1" t="s">
        <v>436</v>
      </c>
    </row>
    <row r="110" spans="2:19" ht="30" customHeight="1" x14ac:dyDescent="0.2">
      <c r="B110" s="6" t="s">
        <v>437</v>
      </c>
      <c r="C110" s="4"/>
      <c r="D110" s="4" t="str">
        <f>IF((IF(AND($D$21="Track 1",LEFT($D$22,2)&lt;&gt;"A1"),"Modules A2 and A3 are not available under Track 1 (Annex 3, Table 19). ","")&amp;IF(AND($D$21&lt;&gt;"Track 3",OR(LEFT($D$23,2)="F5",LEFT($D$23,2)="F6")),"Modules F5 and F6 are restricted to Track 3 (Annex 1). ","")&amp;IF(AND($D$21&lt;&gt;"Track 1",LEFT($D$84,8)="Method 1",NOT(ISNUMBER($D$26))),"Tracks 2 and 3 enter the gridded-dataset soil temperature (Section 8.5). ","")&amp;IF(AND($D$21="Track 3",$D$77="Default (Table 21)"),"Track 3 measures organic carbon (Section 8.4). ","")&amp;IF(AND($D$21&lt;&gt;"Track 1",LEFT($D$74,7)="Default"),"The biochar moisture default is restricted to Track 1 (PARC 8). ","")&amp;IF(AND($D$21&lt;&gt;"Track 1",LEFT($D$51,5)="Yield"),"The yield default is restricted to Track 1 (PARC 3). ","")&amp;IF(AND(LEFT($D$23,2)="F1",LEFT($D$51,5)="Yield"),"Module F1 residue is weighed at collection (Section 8.3). ","")&amp;IF(AND($D$21="Track 3",LEFT($D$104,5)="Small"),"The small-hub default is available to Tracks 1 and 2 only (Section 9.3). ","")&amp;IF(AND($D$21&lt;&gt;"Track 1",LEFT($D$97,6)="Option"),"Methane Options A and B are Track 1 routes (Section 9.4). ","")&amp;IF(AND($D$21="Track 3",LEFT($D$97,7)="Track 2"),"Track 3 measures methane continuously (Section 9.4). ","")&amp;IF(AND(LEFT($D$97,8)="Option A",LEFT($D$54,5)="Moist"),"Feedstock above 24% moisture is not creditable; dry before charging (Section 9.4). ","")&amp;IF(AND(LEFT($D$22,2)="A1",LEFT($D$84,8)="Method 3"),"Method 3 applies to Modules A2 and A3 only (Section 8.5). ","")&amp;IF(AND(LEFT($D$22,2)&lt;&gt;"A1",LEFT($D$84,8)&lt;&gt;"Method 3"),"Modules A2 and A3 apply Method 3 (Section 8.5). ","")&amp;IF(AND($D$21="Track 1",LEFT($D$84,8)="Method 2"),"Method 2 is available to Tracks 2 and 3 only (Section 8.5). ",""))="","OK",TRIM(IF(AND($D$21="Track 1",LEFT($D$22,2)&lt;&gt;"A1"),"Modules A2 and A3 are not available under Track 1 (Annex 3, Table 19). ","")&amp;IF(AND($D$21&lt;&gt;"Track 3",OR(LEFT($D$23,2)="F5",LEFT($D$23,2)="F6")),"Modules F5 and F6 are restricted to Track 3 (Annex 1). ","")&amp;IF(AND($D$21&lt;&gt;"Track 1",LEFT($D$84,8)="Method 1",NOT(ISNUMBER($D$26))),"Tracks 2 and 3 enter the gridded-dataset soil temperature (Section 8.5). ","")&amp;IF(AND($D$21="Track 3",$D$77="Default (Table 21)"),"Track 3 measures organic carbon (Section 8.4). ","")&amp;IF(AND($D$21&lt;&gt;"Track 1",LEFT($D$74,7)="Default"),"The biochar moisture default is restricted to Track 1 (PARC 8). ","")&amp;IF(AND($D$21&lt;&gt;"Track 1",LEFT($D$51,5)="Yield"),"The yield default is restricted to Track 1 (PARC 3). ","")&amp;IF(AND(LEFT($D$23,2)="F1",LEFT($D$51,5)="Yield"),"Module F1 residue is weighed at collection (Section 8.3). ","")&amp;IF(AND($D$21="Track 3",LEFT($D$104,5)="Small"),"The small-hub default is available to Tracks 1 and 2 only (Section 9.3). ","")&amp;IF(AND($D$21&lt;&gt;"Track 1",LEFT($D$97,6)="Option"),"Methane Options A and B are Track 1 routes (Section 9.4). ","")&amp;IF(AND($D$21="Track 3",LEFT($D$97,7)="Track 2"),"Track 3 measures methane continuously (Section 9.4). ","")&amp;IF(AND(LEFT($D$97,8)="Option A",LEFT($D$54,5)="Moist"),"Feedstock above 24% moisture is not creditable; dry before charging (Section 9.4). ","")&amp;IF(AND(LEFT($D$22,2)="A1",LEFT($D$84,8)="Method 3"),"Method 3 applies to Modules A2 and A3 only (Section 8.5). ","")&amp;IF(AND(LEFT($D$22,2)&lt;&gt;"A1",LEFT($D$84,8)&lt;&gt;"Method 3"),"Modules A2 and A3 apply Method 3 (Section 8.5). ","")&amp;IF(AND($D$21="Track 1",LEFT($D$84,8)="Method 2"),"Method 2 is available to Tracks 2 and 3 only (Section 8.5). ","")))</f>
        <v>OK</v>
      </c>
      <c r="E110" s="4"/>
      <c r="F110" s="1" t="s">
        <v>438</v>
      </c>
    </row>
    <row r="112" spans="2:19" ht="16" x14ac:dyDescent="0.2">
      <c r="B112" s="10" t="s">
        <v>439</v>
      </c>
      <c r="C112" s="11"/>
      <c r="D112" s="11"/>
      <c r="E112" s="11"/>
      <c r="F112" s="11"/>
      <c r="G112" s="11"/>
      <c r="H112" s="11"/>
      <c r="I112" s="11"/>
      <c r="J112" s="11"/>
      <c r="K112" s="11"/>
      <c r="L112" s="11"/>
      <c r="M112" s="11"/>
      <c r="N112" s="11"/>
      <c r="R112" s="11"/>
      <c r="S112" s="11"/>
    </row>
    <row r="113" spans="2:19" ht="16" x14ac:dyDescent="0.2">
      <c r="B113" s="12" t="s">
        <v>440</v>
      </c>
      <c r="C113" s="12" t="s">
        <v>216</v>
      </c>
      <c r="D113" s="48" t="s">
        <v>441</v>
      </c>
      <c r="E113" s="48" t="s">
        <v>442</v>
      </c>
      <c r="F113" s="48" t="s">
        <v>443</v>
      </c>
      <c r="G113" s="48" t="s">
        <v>444</v>
      </c>
      <c r="H113" s="48" t="s">
        <v>445</v>
      </c>
      <c r="I113" s="48" t="s">
        <v>446</v>
      </c>
      <c r="J113" s="48" t="s">
        <v>447</v>
      </c>
      <c r="K113" s="48" t="s">
        <v>448</v>
      </c>
      <c r="L113" s="48" t="s">
        <v>449</v>
      </c>
      <c r="M113" s="48" t="s">
        <v>450</v>
      </c>
      <c r="N113" s="48" t="s">
        <v>451</v>
      </c>
      <c r="R113" s="12" t="s">
        <v>218</v>
      </c>
      <c r="S113" s="12" t="s">
        <v>452</v>
      </c>
    </row>
    <row r="114" spans="2:19" ht="16" x14ac:dyDescent="0.2">
      <c r="B114" s="49" t="s">
        <v>453</v>
      </c>
    </row>
    <row r="115" spans="2:19" ht="17" x14ac:dyDescent="0.2">
      <c r="B115" s="6" t="s">
        <v>454</v>
      </c>
      <c r="C115" s="4"/>
      <c r="D115" s="50">
        <v>1</v>
      </c>
      <c r="E115" s="50">
        <v>1</v>
      </c>
      <c r="F115" s="50">
        <v>1</v>
      </c>
      <c r="G115" s="50">
        <v>1</v>
      </c>
      <c r="H115" s="50">
        <v>1</v>
      </c>
      <c r="I115" s="50">
        <v>1</v>
      </c>
      <c r="J115" s="50">
        <v>1</v>
      </c>
      <c r="K115" s="50">
        <v>1</v>
      </c>
      <c r="L115" s="50">
        <v>1</v>
      </c>
      <c r="M115" s="50">
        <v>1</v>
      </c>
      <c r="N115" s="51">
        <f>SUM(D115:M115)</f>
        <v>10</v>
      </c>
      <c r="R115" s="4"/>
      <c r="S115" s="9"/>
    </row>
    <row r="116" spans="2:19" ht="17" x14ac:dyDescent="0.2">
      <c r="B116" s="6" t="s">
        <v>455</v>
      </c>
      <c r="C116" s="4" t="s">
        <v>456</v>
      </c>
      <c r="D116" s="47">
        <v>360</v>
      </c>
      <c r="E116" s="47">
        <v>630</v>
      </c>
      <c r="F116" s="47">
        <v>900</v>
      </c>
      <c r="G116" s="47">
        <v>900</v>
      </c>
      <c r="H116" s="47">
        <v>900</v>
      </c>
      <c r="I116" s="47">
        <v>900</v>
      </c>
      <c r="J116" s="47">
        <v>900</v>
      </c>
      <c r="K116" s="47">
        <v>900</v>
      </c>
      <c r="L116" s="47">
        <v>900</v>
      </c>
      <c r="M116" s="47">
        <v>900</v>
      </c>
      <c r="N116" s="52">
        <f>SUM(D116:M116)</f>
        <v>8190</v>
      </c>
      <c r="R116" s="4" t="s">
        <v>457</v>
      </c>
      <c r="S116" s="9" t="s">
        <v>458</v>
      </c>
    </row>
    <row r="117" spans="2:19" ht="17" x14ac:dyDescent="0.2">
      <c r="B117" s="6" t="s">
        <v>459</v>
      </c>
      <c r="C117" s="4" t="s">
        <v>460</v>
      </c>
      <c r="D117" s="47">
        <v>1530</v>
      </c>
      <c r="E117" s="47">
        <v>2678</v>
      </c>
      <c r="F117" s="47">
        <v>3825</v>
      </c>
      <c r="G117" s="47">
        <v>3825</v>
      </c>
      <c r="H117" s="47">
        <v>3825</v>
      </c>
      <c r="I117" s="47">
        <v>3825</v>
      </c>
      <c r="J117" s="47">
        <v>3825</v>
      </c>
      <c r="K117" s="47">
        <v>3825</v>
      </c>
      <c r="L117" s="47">
        <v>3825</v>
      </c>
      <c r="M117" s="47">
        <v>3825</v>
      </c>
      <c r="N117" s="52">
        <f>SUM(D117:M117)</f>
        <v>34808</v>
      </c>
      <c r="R117" s="4" t="s">
        <v>226</v>
      </c>
      <c r="S117" s="9" t="s">
        <v>458</v>
      </c>
    </row>
    <row r="118" spans="2:19" ht="30" customHeight="1" x14ac:dyDescent="0.2">
      <c r="B118" s="6" t="s">
        <v>461</v>
      </c>
      <c r="C118" s="4" t="s">
        <v>462</v>
      </c>
      <c r="D118" s="44">
        <v>0</v>
      </c>
      <c r="E118" s="44">
        <v>0</v>
      </c>
      <c r="F118" s="44">
        <v>0</v>
      </c>
      <c r="G118" s="44">
        <v>0</v>
      </c>
      <c r="H118" s="44">
        <v>0</v>
      </c>
      <c r="I118" s="44">
        <v>0</v>
      </c>
      <c r="J118" s="44">
        <v>0</v>
      </c>
      <c r="K118" s="44">
        <v>0</v>
      </c>
      <c r="L118" s="44">
        <v>0</v>
      </c>
      <c r="M118" s="44">
        <v>0</v>
      </c>
      <c r="R118" s="4" t="s">
        <v>463</v>
      </c>
      <c r="S118" s="9" t="s">
        <v>464</v>
      </c>
    </row>
    <row r="119" spans="2:19" ht="17" x14ac:dyDescent="0.2">
      <c r="B119" s="6" t="s">
        <v>465</v>
      </c>
      <c r="C119" s="4" t="s">
        <v>466</v>
      </c>
      <c r="D119" s="47">
        <v>0</v>
      </c>
      <c r="E119" s="47">
        <v>0</v>
      </c>
      <c r="F119" s="47">
        <v>0</v>
      </c>
      <c r="G119" s="47">
        <v>0</v>
      </c>
      <c r="H119" s="47">
        <v>0</v>
      </c>
      <c r="I119" s="47">
        <v>0</v>
      </c>
      <c r="J119" s="47">
        <v>0</v>
      </c>
      <c r="K119" s="47">
        <v>0</v>
      </c>
      <c r="L119" s="47">
        <v>0</v>
      </c>
      <c r="M119" s="47">
        <v>0</v>
      </c>
      <c r="N119" s="52">
        <f t="shared" ref="N119:N130" si="0">SUM(D119:M119)</f>
        <v>0</v>
      </c>
      <c r="R119" s="4" t="s">
        <v>221</v>
      </c>
      <c r="S119" s="9" t="s">
        <v>137</v>
      </c>
    </row>
    <row r="120" spans="2:19" ht="30" customHeight="1" x14ac:dyDescent="0.2">
      <c r="B120" s="6" t="s">
        <v>467</v>
      </c>
      <c r="C120" s="4" t="s">
        <v>468</v>
      </c>
      <c r="D120" s="53">
        <v>0</v>
      </c>
      <c r="E120" s="53">
        <v>0</v>
      </c>
      <c r="F120" s="53">
        <v>0</v>
      </c>
      <c r="G120" s="53">
        <v>0</v>
      </c>
      <c r="H120" s="53">
        <v>0</v>
      </c>
      <c r="I120" s="53">
        <v>0</v>
      </c>
      <c r="J120" s="53">
        <v>0</v>
      </c>
      <c r="K120" s="53">
        <v>0</v>
      </c>
      <c r="L120" s="53">
        <v>0</v>
      </c>
      <c r="M120" s="53">
        <v>0</v>
      </c>
      <c r="N120" s="54">
        <f t="shared" si="0"/>
        <v>0</v>
      </c>
      <c r="R120" s="4" t="s">
        <v>226</v>
      </c>
      <c r="S120" s="9" t="s">
        <v>469</v>
      </c>
    </row>
    <row r="121" spans="2:19" ht="17" x14ac:dyDescent="0.2">
      <c r="B121" s="6" t="s">
        <v>470</v>
      </c>
      <c r="C121" s="4" t="s">
        <v>471</v>
      </c>
      <c r="D121" s="38">
        <v>0</v>
      </c>
      <c r="E121" s="38">
        <v>0</v>
      </c>
      <c r="F121" s="38">
        <v>0</v>
      </c>
      <c r="G121" s="38">
        <v>0</v>
      </c>
      <c r="H121" s="38">
        <v>0</v>
      </c>
      <c r="I121" s="38">
        <v>0</v>
      </c>
      <c r="J121" s="38">
        <v>0</v>
      </c>
      <c r="K121" s="38">
        <v>0</v>
      </c>
      <c r="L121" s="38">
        <v>0</v>
      </c>
      <c r="M121" s="38">
        <v>0</v>
      </c>
      <c r="N121" s="55">
        <f t="shared" si="0"/>
        <v>0</v>
      </c>
      <c r="R121" s="4" t="s">
        <v>472</v>
      </c>
      <c r="S121" s="9" t="s">
        <v>473</v>
      </c>
    </row>
    <row r="122" spans="2:19" ht="17" x14ac:dyDescent="0.2">
      <c r="B122" s="6" t="s">
        <v>474</v>
      </c>
      <c r="C122" s="4" t="s">
        <v>475</v>
      </c>
      <c r="D122" s="47">
        <v>0</v>
      </c>
      <c r="E122" s="47">
        <v>0</v>
      </c>
      <c r="F122" s="47">
        <v>0</v>
      </c>
      <c r="G122" s="47">
        <v>0</v>
      </c>
      <c r="H122" s="47">
        <v>0</v>
      </c>
      <c r="I122" s="47">
        <v>0</v>
      </c>
      <c r="J122" s="47">
        <v>0</v>
      </c>
      <c r="K122" s="47">
        <v>0</v>
      </c>
      <c r="L122" s="47">
        <v>0</v>
      </c>
      <c r="M122" s="47">
        <v>0</v>
      </c>
      <c r="N122" s="52">
        <f t="shared" si="0"/>
        <v>0</v>
      </c>
      <c r="R122" s="4" t="s">
        <v>476</v>
      </c>
      <c r="S122" s="9" t="s">
        <v>477</v>
      </c>
    </row>
    <row r="123" spans="2:19" ht="17" x14ac:dyDescent="0.2">
      <c r="B123" s="6" t="s">
        <v>478</v>
      </c>
      <c r="C123" s="4" t="s">
        <v>479</v>
      </c>
      <c r="D123" s="53">
        <v>0</v>
      </c>
      <c r="E123" s="53">
        <v>0</v>
      </c>
      <c r="F123" s="53">
        <v>0</v>
      </c>
      <c r="G123" s="53">
        <v>0</v>
      </c>
      <c r="H123" s="53">
        <v>0</v>
      </c>
      <c r="I123" s="53">
        <v>0</v>
      </c>
      <c r="J123" s="53">
        <v>0</v>
      </c>
      <c r="K123" s="53">
        <v>0</v>
      </c>
      <c r="L123" s="53">
        <v>0</v>
      </c>
      <c r="M123" s="53">
        <v>0</v>
      </c>
      <c r="N123" s="54">
        <f t="shared" si="0"/>
        <v>0</v>
      </c>
      <c r="R123" s="4" t="s">
        <v>480</v>
      </c>
      <c r="S123" s="9" t="s">
        <v>477</v>
      </c>
    </row>
    <row r="124" spans="2:19" ht="17" x14ac:dyDescent="0.2">
      <c r="B124" s="6" t="s">
        <v>481</v>
      </c>
      <c r="C124" s="4" t="s">
        <v>482</v>
      </c>
      <c r="D124" s="47">
        <v>0</v>
      </c>
      <c r="E124" s="47">
        <v>0</v>
      </c>
      <c r="F124" s="47">
        <v>0</v>
      </c>
      <c r="G124" s="47">
        <v>0</v>
      </c>
      <c r="H124" s="47">
        <v>0</v>
      </c>
      <c r="I124" s="47">
        <v>0</v>
      </c>
      <c r="J124" s="47">
        <v>0</v>
      </c>
      <c r="K124" s="47">
        <v>0</v>
      </c>
      <c r="L124" s="47">
        <v>0</v>
      </c>
      <c r="M124" s="47">
        <v>0</v>
      </c>
      <c r="N124" s="52">
        <f t="shared" si="0"/>
        <v>0</v>
      </c>
      <c r="R124" s="4" t="s">
        <v>221</v>
      </c>
      <c r="S124" s="9" t="s">
        <v>483</v>
      </c>
    </row>
    <row r="125" spans="2:19" ht="17" x14ac:dyDescent="0.2">
      <c r="B125" s="6" t="s">
        <v>484</v>
      </c>
      <c r="C125" s="4" t="s">
        <v>485</v>
      </c>
      <c r="D125" s="47">
        <v>0</v>
      </c>
      <c r="E125" s="47">
        <v>0</v>
      </c>
      <c r="F125" s="47">
        <v>0</v>
      </c>
      <c r="G125" s="47">
        <v>0</v>
      </c>
      <c r="H125" s="47">
        <v>0</v>
      </c>
      <c r="I125" s="47">
        <v>0</v>
      </c>
      <c r="J125" s="47">
        <v>0</v>
      </c>
      <c r="K125" s="47">
        <v>0</v>
      </c>
      <c r="L125" s="47">
        <v>0</v>
      </c>
      <c r="M125" s="47">
        <v>0</v>
      </c>
      <c r="N125" s="52">
        <f t="shared" si="0"/>
        <v>0</v>
      </c>
      <c r="R125" s="4" t="s">
        <v>476</v>
      </c>
      <c r="S125" s="9" t="s">
        <v>486</v>
      </c>
    </row>
    <row r="126" spans="2:19" ht="17" x14ac:dyDescent="0.2">
      <c r="B126" s="6" t="s">
        <v>487</v>
      </c>
      <c r="C126" s="4" t="s">
        <v>488</v>
      </c>
      <c r="D126" s="53">
        <v>0</v>
      </c>
      <c r="E126" s="53">
        <v>0</v>
      </c>
      <c r="F126" s="53">
        <v>0</v>
      </c>
      <c r="G126" s="53">
        <v>0</v>
      </c>
      <c r="H126" s="53">
        <v>0</v>
      </c>
      <c r="I126" s="53">
        <v>0</v>
      </c>
      <c r="J126" s="53">
        <v>0</v>
      </c>
      <c r="K126" s="53">
        <v>0</v>
      </c>
      <c r="L126" s="53">
        <v>0</v>
      </c>
      <c r="M126" s="53">
        <v>0</v>
      </c>
      <c r="N126" s="54">
        <f t="shared" si="0"/>
        <v>0</v>
      </c>
      <c r="R126" s="4" t="s">
        <v>480</v>
      </c>
      <c r="S126" s="9" t="s">
        <v>486</v>
      </c>
    </row>
    <row r="127" spans="2:19" ht="17" x14ac:dyDescent="0.2">
      <c r="B127" s="6" t="s">
        <v>489</v>
      </c>
      <c r="C127" s="4" t="s">
        <v>490</v>
      </c>
      <c r="D127" s="47">
        <v>2880</v>
      </c>
      <c r="E127" s="47">
        <v>5040</v>
      </c>
      <c r="F127" s="47">
        <v>7200</v>
      </c>
      <c r="G127" s="47">
        <v>7200</v>
      </c>
      <c r="H127" s="47">
        <v>7200</v>
      </c>
      <c r="I127" s="47">
        <v>7200</v>
      </c>
      <c r="J127" s="47">
        <v>7200</v>
      </c>
      <c r="K127" s="47">
        <v>7200</v>
      </c>
      <c r="L127" s="47">
        <v>7200</v>
      </c>
      <c r="M127" s="47">
        <v>7200</v>
      </c>
      <c r="N127" s="52">
        <f t="shared" si="0"/>
        <v>65520</v>
      </c>
      <c r="R127" s="4" t="s">
        <v>491</v>
      </c>
      <c r="S127" s="9" t="s">
        <v>492</v>
      </c>
    </row>
    <row r="128" spans="2:19" ht="17" x14ac:dyDescent="0.2">
      <c r="B128" s="6" t="s">
        <v>493</v>
      </c>
      <c r="C128" s="4" t="s">
        <v>494</v>
      </c>
      <c r="D128" s="47">
        <v>0</v>
      </c>
      <c r="E128" s="47">
        <v>0</v>
      </c>
      <c r="F128" s="47">
        <v>0</v>
      </c>
      <c r="G128" s="47">
        <v>0</v>
      </c>
      <c r="H128" s="47">
        <v>0</v>
      </c>
      <c r="I128" s="47">
        <v>0</v>
      </c>
      <c r="J128" s="47">
        <v>0</v>
      </c>
      <c r="K128" s="47">
        <v>0</v>
      </c>
      <c r="L128" s="47">
        <v>0</v>
      </c>
      <c r="M128" s="47">
        <v>0</v>
      </c>
      <c r="N128" s="52">
        <f t="shared" si="0"/>
        <v>0</v>
      </c>
      <c r="R128" s="4" t="s">
        <v>476</v>
      </c>
      <c r="S128" s="9" t="s">
        <v>495</v>
      </c>
    </row>
    <row r="129" spans="2:19" ht="30" customHeight="1" x14ac:dyDescent="0.2">
      <c r="B129" s="6" t="s">
        <v>496</v>
      </c>
      <c r="C129" s="4" t="s">
        <v>497</v>
      </c>
      <c r="D129" s="47">
        <v>0</v>
      </c>
      <c r="E129" s="47">
        <v>0</v>
      </c>
      <c r="F129" s="47">
        <v>0</v>
      </c>
      <c r="G129" s="47">
        <v>0</v>
      </c>
      <c r="H129" s="47">
        <v>0</v>
      </c>
      <c r="I129" s="47">
        <v>0</v>
      </c>
      <c r="J129" s="47">
        <v>0</v>
      </c>
      <c r="K129" s="47">
        <v>0</v>
      </c>
      <c r="L129" s="47">
        <v>0</v>
      </c>
      <c r="M129" s="47">
        <v>0</v>
      </c>
      <c r="N129" s="52">
        <f t="shared" si="0"/>
        <v>0</v>
      </c>
      <c r="R129" s="4" t="s">
        <v>221</v>
      </c>
      <c r="S129" s="9" t="s">
        <v>498</v>
      </c>
    </row>
    <row r="130" spans="2:19" ht="30" customHeight="1" x14ac:dyDescent="0.2">
      <c r="B130" s="6" t="s">
        <v>499</v>
      </c>
      <c r="C130" s="4" t="s">
        <v>500</v>
      </c>
      <c r="D130" s="47">
        <v>0</v>
      </c>
      <c r="E130" s="47">
        <v>0</v>
      </c>
      <c r="F130" s="47">
        <v>0</v>
      </c>
      <c r="G130" s="47">
        <v>0</v>
      </c>
      <c r="H130" s="47">
        <v>0</v>
      </c>
      <c r="I130" s="47">
        <v>0</v>
      </c>
      <c r="J130" s="47">
        <v>0</v>
      </c>
      <c r="K130" s="47">
        <v>0</v>
      </c>
      <c r="L130" s="47">
        <v>0</v>
      </c>
      <c r="M130" s="47">
        <v>0</v>
      </c>
      <c r="N130" s="52">
        <f t="shared" si="0"/>
        <v>0</v>
      </c>
      <c r="R130" s="4" t="s">
        <v>226</v>
      </c>
      <c r="S130" s="9" t="s">
        <v>501</v>
      </c>
    </row>
    <row r="131" spans="2:19" ht="17" x14ac:dyDescent="0.2">
      <c r="B131" s="6" t="s">
        <v>502</v>
      </c>
      <c r="C131" s="4" t="s">
        <v>369</v>
      </c>
      <c r="D131" s="32"/>
      <c r="E131" s="32"/>
      <c r="F131" s="32"/>
      <c r="G131" s="32"/>
      <c r="H131" s="32"/>
      <c r="I131" s="32"/>
      <c r="J131" s="32"/>
      <c r="K131" s="32"/>
      <c r="L131" s="32"/>
      <c r="M131" s="32"/>
      <c r="R131" s="4" t="s">
        <v>263</v>
      </c>
      <c r="S131" s="9" t="s">
        <v>124</v>
      </c>
    </row>
    <row r="132" spans="2:19" ht="17" x14ac:dyDescent="0.2">
      <c r="B132" s="6" t="s">
        <v>503</v>
      </c>
      <c r="C132" s="4" t="s">
        <v>262</v>
      </c>
      <c r="D132" s="56">
        <f t="shared" ref="D132:M132" si="1">$D$28</f>
        <v>1.2500000000000001E-2</v>
      </c>
      <c r="E132" s="56">
        <f t="shared" si="1"/>
        <v>1.2500000000000001E-2</v>
      </c>
      <c r="F132" s="56">
        <f t="shared" si="1"/>
        <v>1.2500000000000001E-2</v>
      </c>
      <c r="G132" s="56">
        <f t="shared" si="1"/>
        <v>1.2500000000000001E-2</v>
      </c>
      <c r="H132" s="56">
        <f t="shared" si="1"/>
        <v>1.2500000000000001E-2</v>
      </c>
      <c r="I132" s="56">
        <f t="shared" si="1"/>
        <v>1.2500000000000001E-2</v>
      </c>
      <c r="J132" s="56">
        <f t="shared" si="1"/>
        <v>1.2500000000000001E-2</v>
      </c>
      <c r="K132" s="56">
        <f t="shared" si="1"/>
        <v>1.2500000000000001E-2</v>
      </c>
      <c r="L132" s="56">
        <f t="shared" si="1"/>
        <v>1.2500000000000001E-2</v>
      </c>
      <c r="M132" s="56">
        <f t="shared" si="1"/>
        <v>1.2500000000000001E-2</v>
      </c>
      <c r="R132" s="4" t="s">
        <v>263</v>
      </c>
      <c r="S132" s="9" t="s">
        <v>234</v>
      </c>
    </row>
    <row r="134" spans="2:19" ht="16" x14ac:dyDescent="0.2">
      <c r="B134" s="49" t="s">
        <v>504</v>
      </c>
    </row>
    <row r="135" spans="2:19" ht="17" x14ac:dyDescent="0.2">
      <c r="B135" s="6" t="s">
        <v>505</v>
      </c>
      <c r="C135" s="4" t="s">
        <v>369</v>
      </c>
      <c r="D135" s="20">
        <f t="shared" ref="D135:M135" si="2">IF(ISNUMBER(D$131),D$131,$D$76)</f>
        <v>0.15</v>
      </c>
      <c r="E135" s="20">
        <f t="shared" si="2"/>
        <v>0.15</v>
      </c>
      <c r="F135" s="20">
        <f t="shared" si="2"/>
        <v>0.15</v>
      </c>
      <c r="G135" s="20">
        <f t="shared" si="2"/>
        <v>0.15</v>
      </c>
      <c r="H135" s="20">
        <f t="shared" si="2"/>
        <v>0.15</v>
      </c>
      <c r="I135" s="20">
        <f t="shared" si="2"/>
        <v>0.15</v>
      </c>
      <c r="J135" s="20">
        <f t="shared" si="2"/>
        <v>0.15</v>
      </c>
      <c r="K135" s="20">
        <f t="shared" si="2"/>
        <v>0.15</v>
      </c>
      <c r="L135" s="20">
        <f t="shared" si="2"/>
        <v>0.15</v>
      </c>
      <c r="M135" s="20">
        <f t="shared" si="2"/>
        <v>0.15</v>
      </c>
      <c r="R135" s="4" t="s">
        <v>263</v>
      </c>
      <c r="S135" s="9" t="s">
        <v>124</v>
      </c>
    </row>
    <row r="136" spans="2:19" ht="17" x14ac:dyDescent="0.2">
      <c r="B136" s="6" t="s">
        <v>506</v>
      </c>
      <c r="C136" s="4" t="s">
        <v>507</v>
      </c>
      <c r="D136" s="21">
        <f t="shared" ref="D136:M136" si="3">D$115*D$116*(1-D$135)</f>
        <v>306</v>
      </c>
      <c r="E136" s="21">
        <f t="shared" si="3"/>
        <v>535.5</v>
      </c>
      <c r="F136" s="21">
        <f t="shared" si="3"/>
        <v>765</v>
      </c>
      <c r="G136" s="21">
        <f t="shared" si="3"/>
        <v>765</v>
      </c>
      <c r="H136" s="21">
        <f t="shared" si="3"/>
        <v>765</v>
      </c>
      <c r="I136" s="21">
        <f t="shared" si="3"/>
        <v>765</v>
      </c>
      <c r="J136" s="21">
        <f t="shared" si="3"/>
        <v>765</v>
      </c>
      <c r="K136" s="21">
        <f t="shared" si="3"/>
        <v>765</v>
      </c>
      <c r="L136" s="21">
        <f t="shared" si="3"/>
        <v>765</v>
      </c>
      <c r="M136" s="21">
        <f t="shared" si="3"/>
        <v>765</v>
      </c>
      <c r="N136" s="52">
        <f>SUM(D136:M136)</f>
        <v>6961.5</v>
      </c>
      <c r="R136" s="4" t="s">
        <v>226</v>
      </c>
      <c r="S136" s="9" t="s">
        <v>124</v>
      </c>
    </row>
    <row r="137" spans="2:19" ht="17" x14ac:dyDescent="0.2">
      <c r="B137" s="6" t="s">
        <v>508</v>
      </c>
      <c r="C137" s="4" t="s">
        <v>460</v>
      </c>
      <c r="D137" s="21">
        <f t="shared" ref="D137:M137" si="4">IF($D$51="Weighed",D$117,IF($D$52&gt;0,D$136/$D$52,0))</f>
        <v>1530</v>
      </c>
      <c r="E137" s="21">
        <f t="shared" si="4"/>
        <v>2678</v>
      </c>
      <c r="F137" s="21">
        <f t="shared" si="4"/>
        <v>3825</v>
      </c>
      <c r="G137" s="21">
        <f t="shared" si="4"/>
        <v>3825</v>
      </c>
      <c r="H137" s="21">
        <f t="shared" si="4"/>
        <v>3825</v>
      </c>
      <c r="I137" s="21">
        <f t="shared" si="4"/>
        <v>3825</v>
      </c>
      <c r="J137" s="21">
        <f t="shared" si="4"/>
        <v>3825</v>
      </c>
      <c r="K137" s="21">
        <f t="shared" si="4"/>
        <v>3825</v>
      </c>
      <c r="L137" s="21">
        <f t="shared" si="4"/>
        <v>3825</v>
      </c>
      <c r="M137" s="21">
        <f t="shared" si="4"/>
        <v>3825</v>
      </c>
      <c r="N137" s="52">
        <f>SUM(D137:M137)</f>
        <v>34808</v>
      </c>
      <c r="R137" s="4" t="s">
        <v>226</v>
      </c>
      <c r="S137" s="9" t="s">
        <v>509</v>
      </c>
    </row>
    <row r="138" spans="2:19" ht="17" x14ac:dyDescent="0.2">
      <c r="B138" s="6" t="s">
        <v>510</v>
      </c>
      <c r="C138" s="4"/>
      <c r="D138" s="4" t="str">
        <f t="shared" ref="D138:M138" si="5">IF($D$53&lt;=0,"n/a",IF(D$137&gt;0,IF(D$136/D$137&gt;$D$53,"Above ceiling","OK"),"n/a"))</f>
        <v>OK</v>
      </c>
      <c r="E138" s="4" t="str">
        <f t="shared" si="5"/>
        <v>OK</v>
      </c>
      <c r="F138" s="4" t="str">
        <f t="shared" si="5"/>
        <v>OK</v>
      </c>
      <c r="G138" s="4" t="str">
        <f t="shared" si="5"/>
        <v>OK</v>
      </c>
      <c r="H138" s="4" t="str">
        <f t="shared" si="5"/>
        <v>OK</v>
      </c>
      <c r="I138" s="4" t="str">
        <f t="shared" si="5"/>
        <v>OK</v>
      </c>
      <c r="J138" s="4" t="str">
        <f t="shared" si="5"/>
        <v>OK</v>
      </c>
      <c r="K138" s="4" t="str">
        <f t="shared" si="5"/>
        <v>OK</v>
      </c>
      <c r="L138" s="4" t="str">
        <f t="shared" si="5"/>
        <v>OK</v>
      </c>
      <c r="M138" s="4" t="str">
        <f t="shared" si="5"/>
        <v>OK</v>
      </c>
      <c r="R138" s="4"/>
      <c r="S138" s="9" t="s">
        <v>511</v>
      </c>
    </row>
    <row r="139" spans="2:19" ht="30" customHeight="1" x14ac:dyDescent="0.2">
      <c r="B139" s="6" t="s">
        <v>512</v>
      </c>
      <c r="C139" s="4" t="s">
        <v>513</v>
      </c>
      <c r="D139" s="21">
        <f>D$136*$D$80*Defaults!$C$5</f>
        <v>695.64000000000067</v>
      </c>
      <c r="E139" s="21">
        <f>E$136*$D$80*Defaults!$C$5</f>
        <v>1217.370000000001</v>
      </c>
      <c r="F139" s="21">
        <f>F$136*$D$80*Defaults!$C$5</f>
        <v>1739.1000000000017</v>
      </c>
      <c r="G139" s="21">
        <f>G$136*$D$80*Defaults!$C$5</f>
        <v>1739.1000000000017</v>
      </c>
      <c r="H139" s="21">
        <f>H$136*$D$80*Defaults!$C$5</f>
        <v>1739.1000000000017</v>
      </c>
      <c r="I139" s="21">
        <f>I$136*$D$80*Defaults!$C$5</f>
        <v>1739.1000000000017</v>
      </c>
      <c r="J139" s="21">
        <f>J$136*$D$80*Defaults!$C$5</f>
        <v>1739.1000000000017</v>
      </c>
      <c r="K139" s="21">
        <f>K$136*$D$80*Defaults!$C$5</f>
        <v>1739.1000000000017</v>
      </c>
      <c r="L139" s="21">
        <f>L$136*$D$80*Defaults!$C$5</f>
        <v>1739.1000000000017</v>
      </c>
      <c r="M139" s="21">
        <f>M$136*$D$80*Defaults!$C$5</f>
        <v>1739.1000000000017</v>
      </c>
      <c r="N139" s="52">
        <f>SUM(D139:M139)</f>
        <v>15825.810000000018</v>
      </c>
      <c r="R139" s="4" t="s">
        <v>221</v>
      </c>
      <c r="S139" s="9" t="s">
        <v>514</v>
      </c>
    </row>
    <row r="140" spans="2:19" ht="17" x14ac:dyDescent="0.2">
      <c r="B140" s="35" t="s">
        <v>227</v>
      </c>
      <c r="C140" s="2" t="s">
        <v>515</v>
      </c>
      <c r="D140" s="26">
        <f t="shared" ref="D140:M140" si="6">D$139*$D$88*(1-$D$91)*(1-$D$36)</f>
        <v>508.39805940000048</v>
      </c>
      <c r="E140" s="26">
        <f t="shared" si="6"/>
        <v>889.69660395000085</v>
      </c>
      <c r="F140" s="26">
        <f t="shared" si="6"/>
        <v>1270.9951485000013</v>
      </c>
      <c r="G140" s="26">
        <f t="shared" si="6"/>
        <v>1270.9951485000013</v>
      </c>
      <c r="H140" s="26">
        <f t="shared" si="6"/>
        <v>1270.9951485000013</v>
      </c>
      <c r="I140" s="26">
        <f t="shared" si="6"/>
        <v>1270.9951485000013</v>
      </c>
      <c r="J140" s="26">
        <f t="shared" si="6"/>
        <v>1270.9951485000013</v>
      </c>
      <c r="K140" s="26">
        <f t="shared" si="6"/>
        <v>1270.9951485000013</v>
      </c>
      <c r="L140" s="26">
        <f t="shared" si="6"/>
        <v>1270.9951485000013</v>
      </c>
      <c r="M140" s="26">
        <f t="shared" si="6"/>
        <v>1270.9951485000013</v>
      </c>
      <c r="N140" s="26">
        <f>SUM(D140:M140)</f>
        <v>11566.055851350013</v>
      </c>
      <c r="R140" s="2" t="s">
        <v>221</v>
      </c>
      <c r="S140" s="27" t="s">
        <v>516</v>
      </c>
    </row>
    <row r="142" spans="2:19" ht="16" x14ac:dyDescent="0.2">
      <c r="B142" s="49" t="s">
        <v>203</v>
      </c>
    </row>
    <row r="143" spans="2:19" ht="17" x14ac:dyDescent="0.2">
      <c r="B143" s="6" t="s">
        <v>517</v>
      </c>
      <c r="C143" s="4" t="s">
        <v>518</v>
      </c>
      <c r="D143" s="57">
        <f>IF(LEFT($D$97,8)="Option A",IF($D$54="Moist (&gt; 24%) — not creditable",0,D$136*$D$98),IF(LEFT($D$97,8)="Option B",D$136*$D$100,IF(LEFT($D$97,7)="Track 2",D$120*Defaults!$C$22,D$121)))*$D$29</f>
        <v>47.123999999999995</v>
      </c>
      <c r="E143" s="57">
        <f>IF(LEFT($D$97,8)="Option A",IF($D$54="Moist (&gt; 24%) — not creditable",0,E$136*$D$98),IF(LEFT($D$97,8)="Option B",E$136*$D$100,IF(LEFT($D$97,7)="Track 2",E$120*Defaults!$C$22,E$121)))*$D$29</f>
        <v>82.466999999999985</v>
      </c>
      <c r="F143" s="57">
        <f>IF(LEFT($D$97,8)="Option A",IF($D$54="Moist (&gt; 24%) — not creditable",0,F$136*$D$98),IF(LEFT($D$97,8)="Option B",F$136*$D$100,IF(LEFT($D$97,7)="Track 2",F$120*Defaults!$C$22,F$121)))*$D$29</f>
        <v>117.80999999999999</v>
      </c>
      <c r="G143" s="57">
        <f>IF(LEFT($D$97,8)="Option A",IF($D$54="Moist (&gt; 24%) — not creditable",0,G$136*$D$98),IF(LEFT($D$97,8)="Option B",G$136*$D$100,IF(LEFT($D$97,7)="Track 2",G$120*Defaults!$C$22,G$121)))*$D$29</f>
        <v>117.80999999999999</v>
      </c>
      <c r="H143" s="57">
        <f>IF(LEFT($D$97,8)="Option A",IF($D$54="Moist (&gt; 24%) — not creditable",0,H$136*$D$98),IF(LEFT($D$97,8)="Option B",H$136*$D$100,IF(LEFT($D$97,7)="Track 2",H$120*Defaults!$C$22,H$121)))*$D$29</f>
        <v>117.80999999999999</v>
      </c>
      <c r="I143" s="57">
        <f>IF(LEFT($D$97,8)="Option A",IF($D$54="Moist (&gt; 24%) — not creditable",0,I$136*$D$98),IF(LEFT($D$97,8)="Option B",I$136*$D$100,IF(LEFT($D$97,7)="Track 2",I$120*Defaults!$C$22,I$121)))*$D$29</f>
        <v>117.80999999999999</v>
      </c>
      <c r="J143" s="57">
        <f>IF(LEFT($D$97,8)="Option A",IF($D$54="Moist (&gt; 24%) — not creditable",0,J$136*$D$98),IF(LEFT($D$97,8)="Option B",J$136*$D$100,IF(LEFT($D$97,7)="Track 2",J$120*Defaults!$C$22,J$121)))*$D$29</f>
        <v>117.80999999999999</v>
      </c>
      <c r="K143" s="57">
        <f>IF(LEFT($D$97,8)="Option A",IF($D$54="Moist (&gt; 24%) — not creditable",0,K$136*$D$98),IF(LEFT($D$97,8)="Option B",K$136*$D$100,IF(LEFT($D$97,7)="Track 2",K$120*Defaults!$C$22,K$121)))*$D$29</f>
        <v>117.80999999999999</v>
      </c>
      <c r="L143" s="57">
        <f>IF(LEFT($D$97,8)="Option A",IF($D$54="Moist (&gt; 24%) — not creditable",0,L$136*$D$98),IF(LEFT($D$97,8)="Option B",L$136*$D$100,IF(LEFT($D$97,7)="Track 2",L$120*Defaults!$C$22,L$121)))*$D$29</f>
        <v>117.80999999999999</v>
      </c>
      <c r="M143" s="57">
        <f>IF(LEFT($D$97,8)="Option A",IF($D$54="Moist (&gt; 24%) — not creditable",0,M$136*$D$98),IF(LEFT($D$97,8)="Option B",M$136*$D$100,IF(LEFT($D$97,7)="Track 2",M$120*Defaults!$C$22,M$121)))*$D$29</f>
        <v>117.80999999999999</v>
      </c>
      <c r="N143" s="54">
        <f t="shared" ref="N143:N151" si="7">SUM(D143:M143)</f>
        <v>1072.0709999999997</v>
      </c>
      <c r="R143" s="4" t="s">
        <v>221</v>
      </c>
      <c r="S143" s="9" t="s">
        <v>142</v>
      </c>
    </row>
    <row r="144" spans="2:19" ht="17" x14ac:dyDescent="0.2">
      <c r="B144" s="6" t="s">
        <v>519</v>
      </c>
      <c r="C144" s="4" t="s">
        <v>520</v>
      </c>
      <c r="D144" s="57">
        <f>IF(LEFT($D$104,9)="Small-hub",D$137*Defaults!$C$19,D$122*$D$101+D$123*$D$102)</f>
        <v>0</v>
      </c>
      <c r="E144" s="57">
        <f>IF(LEFT($D$104,9)="Small-hub",E$137*Defaults!$C$19,E$122*$D$101+E$123*$D$102)</f>
        <v>0</v>
      </c>
      <c r="F144" s="57">
        <f>IF(LEFT($D$104,9)="Small-hub",F$137*Defaults!$C$19,F$122*$D$101+F$123*$D$102)</f>
        <v>0</v>
      </c>
      <c r="G144" s="57">
        <f>IF(LEFT($D$104,9)="Small-hub",G$137*Defaults!$C$19,G$122*$D$101+G$123*$D$102)</f>
        <v>0</v>
      </c>
      <c r="H144" s="57">
        <f>IF(LEFT($D$104,9)="Small-hub",H$137*Defaults!$C$19,H$122*$D$101+H$123*$D$102)</f>
        <v>0</v>
      </c>
      <c r="I144" s="57">
        <f>IF(LEFT($D$104,9)="Small-hub",I$137*Defaults!$C$19,I$122*$D$101+I$123*$D$102)</f>
        <v>0</v>
      </c>
      <c r="J144" s="57">
        <f>IF(LEFT($D$104,9)="Small-hub",J$137*Defaults!$C$19,J$122*$D$101+J$123*$D$102)</f>
        <v>0</v>
      </c>
      <c r="K144" s="57">
        <f>IF(LEFT($D$104,9)="Small-hub",K$137*Defaults!$C$19,K$122*$D$101+K$123*$D$102)</f>
        <v>0</v>
      </c>
      <c r="L144" s="57">
        <f>IF(LEFT($D$104,9)="Small-hub",L$137*Defaults!$C$19,L$122*$D$101+L$123*$D$102)</f>
        <v>0</v>
      </c>
      <c r="M144" s="57">
        <f>IF(LEFT($D$104,9)="Small-hub",M$137*Defaults!$C$19,M$122*$D$101+M$123*$D$102)</f>
        <v>0</v>
      </c>
      <c r="N144" s="54">
        <f t="shared" si="7"/>
        <v>0</v>
      </c>
      <c r="R144" s="4" t="s">
        <v>221</v>
      </c>
      <c r="S144" s="9" t="s">
        <v>137</v>
      </c>
    </row>
    <row r="145" spans="2:19" ht="17" x14ac:dyDescent="0.2">
      <c r="B145" s="6" t="s">
        <v>521</v>
      </c>
      <c r="C145" s="4" t="s">
        <v>466</v>
      </c>
      <c r="D145" s="57">
        <f>IF(LEFT($D$69,7)="Default",D$137*$D$70*Defaults!$C$24*Defaults!$C$25*$D$29*MAX(0,D$118),IF(LEFT($D$69,8)="Activity",D$119,0))</f>
        <v>0</v>
      </c>
      <c r="E145" s="57">
        <f>IF(LEFT($D$69,7)="Default",E$137*$D$70*Defaults!$C$24*Defaults!$C$25*$D$29*MAX(0,E$118),IF(LEFT($D$69,8)="Activity",E$119,0))</f>
        <v>0</v>
      </c>
      <c r="F145" s="57">
        <f>IF(LEFT($D$69,7)="Default",F$137*$D$70*Defaults!$C$24*Defaults!$C$25*$D$29*MAX(0,F$118),IF(LEFT($D$69,8)="Activity",F$119,0))</f>
        <v>0</v>
      </c>
      <c r="G145" s="57">
        <f>IF(LEFT($D$69,7)="Default",G$137*$D$70*Defaults!$C$24*Defaults!$C$25*$D$29*MAX(0,G$118),IF(LEFT($D$69,8)="Activity",G$119,0))</f>
        <v>0</v>
      </c>
      <c r="H145" s="57">
        <f>IF(LEFT($D$69,7)="Default",H$137*$D$70*Defaults!$C$24*Defaults!$C$25*$D$29*MAX(0,H$118),IF(LEFT($D$69,8)="Activity",H$119,0))</f>
        <v>0</v>
      </c>
      <c r="I145" s="57">
        <f>IF(LEFT($D$69,7)="Default",I$137*$D$70*Defaults!$C$24*Defaults!$C$25*$D$29*MAX(0,I$118),IF(LEFT($D$69,8)="Activity",I$119,0))</f>
        <v>0</v>
      </c>
      <c r="J145" s="57">
        <f>IF(LEFT($D$69,7)="Default",J$137*$D$70*Defaults!$C$24*Defaults!$C$25*$D$29*MAX(0,J$118),IF(LEFT($D$69,8)="Activity",J$119,0))</f>
        <v>0</v>
      </c>
      <c r="K145" s="57">
        <f>IF(LEFT($D$69,7)="Default",K$137*$D$70*Defaults!$C$24*Defaults!$C$25*$D$29*MAX(0,K$118),IF(LEFT($D$69,8)="Activity",K$119,0))</f>
        <v>0</v>
      </c>
      <c r="L145" s="57">
        <f>IF(LEFT($D$69,7)="Default",L$137*$D$70*Defaults!$C$24*Defaults!$C$25*$D$29*MAX(0,L$118),IF(LEFT($D$69,8)="Activity",L$119,0))</f>
        <v>0</v>
      </c>
      <c r="M145" s="57">
        <f>IF(LEFT($D$69,7)="Default",M$137*$D$70*Defaults!$C$24*Defaults!$C$25*$D$29*MAX(0,M$118),IF(LEFT($D$69,8)="Activity",M$119,0))</f>
        <v>0</v>
      </c>
      <c r="N145" s="54">
        <f t="shared" si="7"/>
        <v>0</v>
      </c>
      <c r="R145" s="4" t="s">
        <v>221</v>
      </c>
      <c r="S145" s="9" t="s">
        <v>137</v>
      </c>
    </row>
    <row r="146" spans="2:19" ht="17" x14ac:dyDescent="0.2">
      <c r="B146" s="6" t="s">
        <v>522</v>
      </c>
      <c r="C146" s="4" t="s">
        <v>482</v>
      </c>
      <c r="D146" s="57">
        <f t="shared" ref="D146:M146" si="8">D$124</f>
        <v>0</v>
      </c>
      <c r="E146" s="57">
        <f t="shared" si="8"/>
        <v>0</v>
      </c>
      <c r="F146" s="57">
        <f t="shared" si="8"/>
        <v>0</v>
      </c>
      <c r="G146" s="57">
        <f t="shared" si="8"/>
        <v>0</v>
      </c>
      <c r="H146" s="57">
        <f t="shared" si="8"/>
        <v>0</v>
      </c>
      <c r="I146" s="57">
        <f t="shared" si="8"/>
        <v>0</v>
      </c>
      <c r="J146" s="57">
        <f t="shared" si="8"/>
        <v>0</v>
      </c>
      <c r="K146" s="57">
        <f t="shared" si="8"/>
        <v>0</v>
      </c>
      <c r="L146" s="57">
        <f t="shared" si="8"/>
        <v>0</v>
      </c>
      <c r="M146" s="57">
        <f t="shared" si="8"/>
        <v>0</v>
      </c>
      <c r="N146" s="54">
        <f t="shared" si="7"/>
        <v>0</v>
      </c>
      <c r="R146" s="4" t="s">
        <v>221</v>
      </c>
      <c r="S146" s="9" t="s">
        <v>483</v>
      </c>
    </row>
    <row r="147" spans="2:19" ht="17" x14ac:dyDescent="0.2">
      <c r="B147" s="6" t="s">
        <v>523</v>
      </c>
      <c r="C147" s="4" t="s">
        <v>524</v>
      </c>
      <c r="D147" s="57">
        <f t="shared" ref="D147:M147" si="9">D$125*$D$101+D$126*$D$102</f>
        <v>0</v>
      </c>
      <c r="E147" s="57">
        <f t="shared" si="9"/>
        <v>0</v>
      </c>
      <c r="F147" s="57">
        <f t="shared" si="9"/>
        <v>0</v>
      </c>
      <c r="G147" s="57">
        <f t="shared" si="9"/>
        <v>0</v>
      </c>
      <c r="H147" s="57">
        <f t="shared" si="9"/>
        <v>0</v>
      </c>
      <c r="I147" s="57">
        <f t="shared" si="9"/>
        <v>0</v>
      </c>
      <c r="J147" s="57">
        <f t="shared" si="9"/>
        <v>0</v>
      </c>
      <c r="K147" s="57">
        <f t="shared" si="9"/>
        <v>0</v>
      </c>
      <c r="L147" s="57">
        <f t="shared" si="9"/>
        <v>0</v>
      </c>
      <c r="M147" s="57">
        <f t="shared" si="9"/>
        <v>0</v>
      </c>
      <c r="N147" s="54">
        <f t="shared" si="7"/>
        <v>0</v>
      </c>
      <c r="R147" s="4" t="s">
        <v>221</v>
      </c>
      <c r="S147" s="9" t="s">
        <v>142</v>
      </c>
    </row>
    <row r="148" spans="2:19" ht="17" x14ac:dyDescent="0.2">
      <c r="B148" s="6" t="s">
        <v>525</v>
      </c>
      <c r="C148" s="4" t="s">
        <v>526</v>
      </c>
      <c r="D148" s="57">
        <f t="shared" ref="D148:M148" si="10">D$127*$D$103</f>
        <v>0.34560000000000002</v>
      </c>
      <c r="E148" s="57">
        <f t="shared" si="10"/>
        <v>0.6048</v>
      </c>
      <c r="F148" s="57">
        <f t="shared" si="10"/>
        <v>0.86399999999999999</v>
      </c>
      <c r="G148" s="57">
        <f t="shared" si="10"/>
        <v>0.86399999999999999</v>
      </c>
      <c r="H148" s="57">
        <f t="shared" si="10"/>
        <v>0.86399999999999999</v>
      </c>
      <c r="I148" s="57">
        <f t="shared" si="10"/>
        <v>0.86399999999999999</v>
      </c>
      <c r="J148" s="57">
        <f t="shared" si="10"/>
        <v>0.86399999999999999</v>
      </c>
      <c r="K148" s="57">
        <f t="shared" si="10"/>
        <v>0.86399999999999999</v>
      </c>
      <c r="L148" s="57">
        <f t="shared" si="10"/>
        <v>0.86399999999999999</v>
      </c>
      <c r="M148" s="57">
        <f t="shared" si="10"/>
        <v>0.86399999999999999</v>
      </c>
      <c r="N148" s="54">
        <f t="shared" si="7"/>
        <v>7.8623999999999992</v>
      </c>
      <c r="R148" s="4" t="s">
        <v>221</v>
      </c>
      <c r="S148" s="9" t="s">
        <v>146</v>
      </c>
    </row>
    <row r="149" spans="2:19" ht="17" x14ac:dyDescent="0.2">
      <c r="B149" s="6" t="s">
        <v>527</v>
      </c>
      <c r="C149" s="4" t="s">
        <v>528</v>
      </c>
      <c r="D149" s="57">
        <f t="shared" ref="D149:M149" si="11">D$128*$D$101+D$129</f>
        <v>0</v>
      </c>
      <c r="E149" s="57">
        <f t="shared" si="11"/>
        <v>0</v>
      </c>
      <c r="F149" s="57">
        <f t="shared" si="11"/>
        <v>0</v>
      </c>
      <c r="G149" s="57">
        <f t="shared" si="11"/>
        <v>0</v>
      </c>
      <c r="H149" s="57">
        <f t="shared" si="11"/>
        <v>0</v>
      </c>
      <c r="I149" s="57">
        <f t="shared" si="11"/>
        <v>0</v>
      </c>
      <c r="J149" s="57">
        <f t="shared" si="11"/>
        <v>0</v>
      </c>
      <c r="K149" s="57">
        <f t="shared" si="11"/>
        <v>0</v>
      </c>
      <c r="L149" s="57">
        <f t="shared" si="11"/>
        <v>0</v>
      </c>
      <c r="M149" s="57">
        <f t="shared" si="11"/>
        <v>0</v>
      </c>
      <c r="N149" s="54">
        <f t="shared" si="7"/>
        <v>0</v>
      </c>
      <c r="R149" s="4" t="s">
        <v>221</v>
      </c>
      <c r="S149" s="9" t="s">
        <v>149</v>
      </c>
    </row>
    <row r="150" spans="2:19" ht="17" x14ac:dyDescent="0.2">
      <c r="B150" s="6" t="s">
        <v>529</v>
      </c>
      <c r="C150" s="4"/>
      <c r="D150" s="57">
        <f t="shared" ref="D150:M150" si="12">D$143+D$144+D$145+D$146+D$147+D$148+D$149</f>
        <v>47.469599999999993</v>
      </c>
      <c r="E150" s="57">
        <f t="shared" si="12"/>
        <v>83.071799999999982</v>
      </c>
      <c r="F150" s="57">
        <f t="shared" si="12"/>
        <v>118.67399999999999</v>
      </c>
      <c r="G150" s="57">
        <f t="shared" si="12"/>
        <v>118.67399999999999</v>
      </c>
      <c r="H150" s="57">
        <f t="shared" si="12"/>
        <v>118.67399999999999</v>
      </c>
      <c r="I150" s="57">
        <f t="shared" si="12"/>
        <v>118.67399999999999</v>
      </c>
      <c r="J150" s="57">
        <f t="shared" si="12"/>
        <v>118.67399999999999</v>
      </c>
      <c r="K150" s="57">
        <f t="shared" si="12"/>
        <v>118.67399999999999</v>
      </c>
      <c r="L150" s="57">
        <f t="shared" si="12"/>
        <v>118.67399999999999</v>
      </c>
      <c r="M150" s="57">
        <f t="shared" si="12"/>
        <v>118.67399999999999</v>
      </c>
      <c r="N150" s="54">
        <f t="shared" si="7"/>
        <v>1079.9333999999999</v>
      </c>
      <c r="R150" s="4" t="s">
        <v>221</v>
      </c>
      <c r="S150" s="9" t="s">
        <v>134</v>
      </c>
    </row>
    <row r="151" spans="2:19" ht="17" x14ac:dyDescent="0.2">
      <c r="B151" s="35" t="s">
        <v>228</v>
      </c>
      <c r="C151" s="2" t="s">
        <v>530</v>
      </c>
      <c r="D151" s="26">
        <f t="shared" ref="D151:M151" si="13">D$150*(1+$D$37)</f>
        <v>49.843079999999993</v>
      </c>
      <c r="E151" s="26">
        <f t="shared" si="13"/>
        <v>87.22538999999999</v>
      </c>
      <c r="F151" s="26">
        <f t="shared" si="13"/>
        <v>124.60769999999999</v>
      </c>
      <c r="G151" s="26">
        <f t="shared" si="13"/>
        <v>124.60769999999999</v>
      </c>
      <c r="H151" s="26">
        <f t="shared" si="13"/>
        <v>124.60769999999999</v>
      </c>
      <c r="I151" s="26">
        <f t="shared" si="13"/>
        <v>124.60769999999999</v>
      </c>
      <c r="J151" s="26">
        <f t="shared" si="13"/>
        <v>124.60769999999999</v>
      </c>
      <c r="K151" s="26">
        <f t="shared" si="13"/>
        <v>124.60769999999999</v>
      </c>
      <c r="L151" s="26">
        <f t="shared" si="13"/>
        <v>124.60769999999999</v>
      </c>
      <c r="M151" s="26">
        <f t="shared" si="13"/>
        <v>124.60769999999999</v>
      </c>
      <c r="N151" s="26">
        <f t="shared" si="7"/>
        <v>1133.9300700000001</v>
      </c>
      <c r="R151" s="2" t="s">
        <v>221</v>
      </c>
      <c r="S151" s="27" t="s">
        <v>531</v>
      </c>
    </row>
    <row r="153" spans="2:19" ht="16" x14ac:dyDescent="0.2">
      <c r="B153" s="49" t="s">
        <v>204</v>
      </c>
    </row>
    <row r="154" spans="2:19" ht="30" customHeight="1" x14ac:dyDescent="0.2">
      <c r="B154" s="6" t="s">
        <v>532</v>
      </c>
      <c r="C154" s="4" t="s">
        <v>432</v>
      </c>
      <c r="D154" s="57">
        <f>IF($D$109="Option B (inventory)",IF(1&lt;=$D$25,$D$108*D$115,0),IF(1&lt;=$D$25,D$136*IF($D$21="Track 1",Defaults!$C$20,Defaults!$C$21),0))</f>
        <v>6.12</v>
      </c>
      <c r="E154" s="57">
        <f>IF($D$109="Option B (inventory)",IF(2&lt;=$D$25,$D$108*E$115,0),IF(2&lt;=$D$25,E$136*IF($D$21="Track 1",Defaults!$C$20,Defaults!$C$21),0))</f>
        <v>10.71</v>
      </c>
      <c r="F154" s="57">
        <f>IF($D$109="Option B (inventory)",IF(3&lt;=$D$25,$D$108*F$115,0),IF(3&lt;=$D$25,F$136*IF($D$21="Track 1",Defaults!$C$20,Defaults!$C$21),0))</f>
        <v>15.3</v>
      </c>
      <c r="G154" s="57">
        <f>IF($D$109="Option B (inventory)",IF(4&lt;=$D$25,$D$108*G$115,0),IF(4&lt;=$D$25,G$136*IF($D$21="Track 1",Defaults!$C$20,Defaults!$C$21),0))</f>
        <v>15.3</v>
      </c>
      <c r="H154" s="57">
        <f>IF($D$109="Option B (inventory)",IF(5&lt;=$D$25,$D$108*H$115,0),IF(5&lt;=$D$25,H$136*IF($D$21="Track 1",Defaults!$C$20,Defaults!$C$21),0))</f>
        <v>15.3</v>
      </c>
      <c r="I154" s="57">
        <f>IF($D$109="Option B (inventory)",IF(6&lt;=$D$25,$D$108*I$115,0),IF(6&lt;=$D$25,I$136*IF($D$21="Track 1",Defaults!$C$20,Defaults!$C$21),0))</f>
        <v>0</v>
      </c>
      <c r="J154" s="57">
        <f>IF($D$109="Option B (inventory)",IF(7&lt;=$D$25,$D$108*J$115,0),IF(7&lt;=$D$25,J$136*IF($D$21="Track 1",Defaults!$C$20,Defaults!$C$21),0))</f>
        <v>0</v>
      </c>
      <c r="K154" s="57">
        <f>IF($D$109="Option B (inventory)",IF(8&lt;=$D$25,$D$108*K$115,0),IF(8&lt;=$D$25,K$136*IF($D$21="Track 1",Defaults!$C$20,Defaults!$C$21),0))</f>
        <v>0</v>
      </c>
      <c r="L154" s="57">
        <f>IF($D$109="Option B (inventory)",IF(9&lt;=$D$25,$D$108*L$115,0),IF(9&lt;=$D$25,L$136*IF($D$21="Track 1",Defaults!$C$20,Defaults!$C$21),0))</f>
        <v>0</v>
      </c>
      <c r="M154" s="57">
        <f>IF($D$109="Option B (inventory)",IF(10&lt;=$D$25,$D$108*M$115,0),IF(10&lt;=$D$25,M$136*IF($D$21="Track 1",Defaults!$C$20,Defaults!$C$21),0))</f>
        <v>0</v>
      </c>
      <c r="N154" s="54">
        <f t="shared" ref="N154:N159" si="14">SUM(D154:M154)</f>
        <v>62.730000000000004</v>
      </c>
      <c r="R154" s="4" t="s">
        <v>221</v>
      </c>
      <c r="S154" s="9" t="s">
        <v>436</v>
      </c>
    </row>
    <row r="155" spans="2:19" ht="17" x14ac:dyDescent="0.2">
      <c r="B155" s="6" t="s">
        <v>533</v>
      </c>
      <c r="C155" s="4" t="s">
        <v>534</v>
      </c>
      <c r="D155" s="57">
        <f>IF($D$55="Yes",0,D$130*IF(LEFT($D$56,6)="Fodder",$D$57,INDEX(Defaults!$C$74:$C$79,MATCH($D$56,Defaults!$B$74:$B$79,0))))</f>
        <v>0</v>
      </c>
      <c r="E155" s="57">
        <f>IF($D$55="Yes",0,E$130*IF(LEFT($D$56,6)="Fodder",$D$57,INDEX(Defaults!$C$74:$C$79,MATCH($D$56,Defaults!$B$74:$B$79,0))))</f>
        <v>0</v>
      </c>
      <c r="F155" s="57">
        <f>IF($D$55="Yes",0,F$130*IF(LEFT($D$56,6)="Fodder",$D$57,INDEX(Defaults!$C$74:$C$79,MATCH($D$56,Defaults!$B$74:$B$79,0))))</f>
        <v>0</v>
      </c>
      <c r="G155" s="57">
        <f>IF($D$55="Yes",0,G$130*IF(LEFT($D$56,6)="Fodder",$D$57,INDEX(Defaults!$C$74:$C$79,MATCH($D$56,Defaults!$B$74:$B$79,0))))</f>
        <v>0</v>
      </c>
      <c r="H155" s="57">
        <f>IF($D$55="Yes",0,H$130*IF(LEFT($D$56,6)="Fodder",$D$57,INDEX(Defaults!$C$74:$C$79,MATCH($D$56,Defaults!$B$74:$B$79,0))))</f>
        <v>0</v>
      </c>
      <c r="I155" s="57">
        <f>IF($D$55="Yes",0,I$130*IF(LEFT($D$56,6)="Fodder",$D$57,INDEX(Defaults!$C$74:$C$79,MATCH($D$56,Defaults!$B$74:$B$79,0))))</f>
        <v>0</v>
      </c>
      <c r="J155" s="57">
        <f>IF($D$55="Yes",0,J$130*IF(LEFT($D$56,6)="Fodder",$D$57,INDEX(Defaults!$C$74:$C$79,MATCH($D$56,Defaults!$B$74:$B$79,0))))</f>
        <v>0</v>
      </c>
      <c r="K155" s="57">
        <f>IF($D$55="Yes",0,K$130*IF(LEFT($D$56,6)="Fodder",$D$57,INDEX(Defaults!$C$74:$C$79,MATCH($D$56,Defaults!$B$74:$B$79,0))))</f>
        <v>0</v>
      </c>
      <c r="L155" s="57">
        <f>IF($D$55="Yes",0,L$130*IF(LEFT($D$56,6)="Fodder",$D$57,INDEX(Defaults!$C$74:$C$79,MATCH($D$56,Defaults!$B$74:$B$79,0))))</f>
        <v>0</v>
      </c>
      <c r="M155" s="57">
        <f>IF($D$55="Yes",0,M$130*IF(LEFT($D$56,6)="Fodder",$D$57,INDEX(Defaults!$C$74:$C$79,MATCH($D$56,Defaults!$B$74:$B$79,0))))</f>
        <v>0</v>
      </c>
      <c r="N155" s="54">
        <f t="shared" si="14"/>
        <v>0</v>
      </c>
      <c r="R155" s="4" t="s">
        <v>221</v>
      </c>
      <c r="S155" s="9" t="s">
        <v>535</v>
      </c>
    </row>
    <row r="156" spans="2:19" ht="30" customHeight="1" x14ac:dyDescent="0.2">
      <c r="B156" s="6" t="s">
        <v>536</v>
      </c>
      <c r="C156" s="4"/>
      <c r="D156" s="57">
        <f>IF(AND(LEFT($D$23,2)="F1",LEFT($D$58,8)="Retained"),D$137*Defaults!$C$32,0)</f>
        <v>0</v>
      </c>
      <c r="E156" s="57">
        <f>IF(AND(LEFT($D$23,2)="F1",LEFT($D$58,8)="Retained"),E$137*Defaults!$C$32,0)</f>
        <v>0</v>
      </c>
      <c r="F156" s="57">
        <f>IF(AND(LEFT($D$23,2)="F1",LEFT($D$58,8)="Retained"),F$137*Defaults!$C$32,0)</f>
        <v>0</v>
      </c>
      <c r="G156" s="57">
        <f>IF(AND(LEFT($D$23,2)="F1",LEFT($D$58,8)="Retained"),G$137*Defaults!$C$32,0)</f>
        <v>0</v>
      </c>
      <c r="H156" s="57">
        <f>IF(AND(LEFT($D$23,2)="F1",LEFT($D$58,8)="Retained"),H$137*Defaults!$C$32,0)</f>
        <v>0</v>
      </c>
      <c r="I156" s="57">
        <f>IF(AND(LEFT($D$23,2)="F1",LEFT($D$58,8)="Retained"),I$137*Defaults!$C$32,0)</f>
        <v>0</v>
      </c>
      <c r="J156" s="57">
        <f>IF(AND(LEFT($D$23,2)="F1",LEFT($D$58,8)="Retained"),J$137*Defaults!$C$32,0)</f>
        <v>0</v>
      </c>
      <c r="K156" s="57">
        <f>IF(AND(LEFT($D$23,2)="F1",LEFT($D$58,8)="Retained"),K$137*Defaults!$C$32,0)</f>
        <v>0</v>
      </c>
      <c r="L156" s="57">
        <f>IF(AND(LEFT($D$23,2)="F1",LEFT($D$58,8)="Retained"),L$137*Defaults!$C$32,0)</f>
        <v>0</v>
      </c>
      <c r="M156" s="57">
        <f>IF(AND(LEFT($D$23,2)="F1",LEFT($D$58,8)="Retained"),M$137*Defaults!$C$32,0)</f>
        <v>0</v>
      </c>
      <c r="N156" s="54">
        <f t="shared" si="14"/>
        <v>0</v>
      </c>
      <c r="R156" s="4" t="s">
        <v>221</v>
      </c>
      <c r="S156" s="9" t="s">
        <v>537</v>
      </c>
    </row>
    <row r="157" spans="2:19" ht="30" customHeight="1" x14ac:dyDescent="0.2">
      <c r="B157" s="6" t="s">
        <v>538</v>
      </c>
      <c r="C157" s="4"/>
      <c r="D157" s="57">
        <f>IF(LEFT($D$23,2)&lt;&gt;"F1",0,IF(LEFT($D$58,7)="Removed",0,D$137*(IF(LEFT($D$58,8)="Retained",$D$65*Defaults!$C$33,0)+(1-$D$68)*($D$66*Defaults!$C$43+$D$67*Defaults!$C$44))))</f>
        <v>8.2620000000000005</v>
      </c>
      <c r="E157" s="57">
        <f>IF(LEFT($D$23,2)&lt;&gt;"F1",0,IF(LEFT($D$58,7)="Removed",0,E$137*(IF(LEFT($D$58,8)="Retained",$D$65*Defaults!$C$33,0)+(1-$D$68)*($D$66*Defaults!$C$43+$D$67*Defaults!$C$44))))</f>
        <v>14.461200000000002</v>
      </c>
      <c r="F157" s="57">
        <f>IF(LEFT($D$23,2)&lt;&gt;"F1",0,IF(LEFT($D$58,7)="Removed",0,F$137*(IF(LEFT($D$58,8)="Retained",$D$65*Defaults!$C$33,0)+(1-$D$68)*($D$66*Defaults!$C$43+$D$67*Defaults!$C$44))))</f>
        <v>20.655000000000001</v>
      </c>
      <c r="G157" s="57">
        <f>IF(LEFT($D$23,2)&lt;&gt;"F1",0,IF(LEFT($D$58,7)="Removed",0,G$137*(IF(LEFT($D$58,8)="Retained",$D$65*Defaults!$C$33,0)+(1-$D$68)*($D$66*Defaults!$C$43+$D$67*Defaults!$C$44))))</f>
        <v>20.655000000000001</v>
      </c>
      <c r="H157" s="57">
        <f>IF(LEFT($D$23,2)&lt;&gt;"F1",0,IF(LEFT($D$58,7)="Removed",0,H$137*(IF(LEFT($D$58,8)="Retained",$D$65*Defaults!$C$33,0)+(1-$D$68)*($D$66*Defaults!$C$43+$D$67*Defaults!$C$44))))</f>
        <v>20.655000000000001</v>
      </c>
      <c r="I157" s="57">
        <f>IF(LEFT($D$23,2)&lt;&gt;"F1",0,IF(LEFT($D$58,7)="Removed",0,I$137*(IF(LEFT($D$58,8)="Retained",$D$65*Defaults!$C$33,0)+(1-$D$68)*($D$66*Defaults!$C$43+$D$67*Defaults!$C$44))))</f>
        <v>20.655000000000001</v>
      </c>
      <c r="J157" s="57">
        <f>IF(LEFT($D$23,2)&lt;&gt;"F1",0,IF(LEFT($D$58,7)="Removed",0,J$137*(IF(LEFT($D$58,8)="Retained",$D$65*Defaults!$C$33,0)+(1-$D$68)*($D$66*Defaults!$C$43+$D$67*Defaults!$C$44))))</f>
        <v>20.655000000000001</v>
      </c>
      <c r="K157" s="57">
        <f>IF(LEFT($D$23,2)&lt;&gt;"F1",0,IF(LEFT($D$58,7)="Removed",0,K$137*(IF(LEFT($D$58,8)="Retained",$D$65*Defaults!$C$33,0)+(1-$D$68)*($D$66*Defaults!$C$43+$D$67*Defaults!$C$44))))</f>
        <v>20.655000000000001</v>
      </c>
      <c r="L157" s="57">
        <f>IF(LEFT($D$23,2)&lt;&gt;"F1",0,IF(LEFT($D$58,7)="Removed",0,L$137*(IF(LEFT($D$58,8)="Retained",$D$65*Defaults!$C$33,0)+(1-$D$68)*($D$66*Defaults!$C$43+$D$67*Defaults!$C$44))))</f>
        <v>20.655000000000001</v>
      </c>
      <c r="M157" s="57">
        <f>IF(LEFT($D$23,2)&lt;&gt;"F1",0,IF(LEFT($D$58,7)="Removed",0,M$137*(IF(LEFT($D$58,8)="Retained",$D$65*Defaults!$C$33,0)+(1-$D$68)*($D$66*Defaults!$C$43+$D$67*Defaults!$C$44))))</f>
        <v>20.655000000000001</v>
      </c>
      <c r="N157" s="54">
        <f t="shared" si="14"/>
        <v>187.96320000000003</v>
      </c>
      <c r="R157" s="4" t="s">
        <v>221</v>
      </c>
      <c r="S157" s="9" t="s">
        <v>539</v>
      </c>
    </row>
    <row r="158" spans="2:19" ht="17" x14ac:dyDescent="0.2">
      <c r="B158" s="6" t="s">
        <v>540</v>
      </c>
      <c r="C158" s="4"/>
      <c r="D158" s="57">
        <f t="shared" ref="D158:M158" si="15">D$154+D$155+D$156+D$157</f>
        <v>14.382000000000001</v>
      </c>
      <c r="E158" s="57">
        <f t="shared" si="15"/>
        <v>25.171200000000002</v>
      </c>
      <c r="F158" s="57">
        <f t="shared" si="15"/>
        <v>35.954999999999998</v>
      </c>
      <c r="G158" s="57">
        <f t="shared" si="15"/>
        <v>35.954999999999998</v>
      </c>
      <c r="H158" s="57">
        <f t="shared" si="15"/>
        <v>35.954999999999998</v>
      </c>
      <c r="I158" s="57">
        <f t="shared" si="15"/>
        <v>20.655000000000001</v>
      </c>
      <c r="J158" s="57">
        <f t="shared" si="15"/>
        <v>20.655000000000001</v>
      </c>
      <c r="K158" s="57">
        <f t="shared" si="15"/>
        <v>20.655000000000001</v>
      </c>
      <c r="L158" s="57">
        <f t="shared" si="15"/>
        <v>20.655000000000001</v>
      </c>
      <c r="M158" s="57">
        <f t="shared" si="15"/>
        <v>20.655000000000001</v>
      </c>
      <c r="N158" s="54">
        <f t="shared" si="14"/>
        <v>250.69320000000002</v>
      </c>
      <c r="R158" s="4" t="s">
        <v>221</v>
      </c>
      <c r="S158" s="9" t="s">
        <v>230</v>
      </c>
    </row>
    <row r="159" spans="2:19" ht="17" x14ac:dyDescent="0.2">
      <c r="B159" s="35" t="s">
        <v>229</v>
      </c>
      <c r="C159" s="2" t="s">
        <v>541</v>
      </c>
      <c r="D159" s="26">
        <f t="shared" ref="D159:M159" si="16">D$158*(1+$D$38)</f>
        <v>14.382000000000001</v>
      </c>
      <c r="E159" s="26">
        <f t="shared" si="16"/>
        <v>25.171200000000002</v>
      </c>
      <c r="F159" s="26">
        <f t="shared" si="16"/>
        <v>35.954999999999998</v>
      </c>
      <c r="G159" s="26">
        <f t="shared" si="16"/>
        <v>35.954999999999998</v>
      </c>
      <c r="H159" s="26">
        <f t="shared" si="16"/>
        <v>35.954999999999998</v>
      </c>
      <c r="I159" s="26">
        <f t="shared" si="16"/>
        <v>20.655000000000001</v>
      </c>
      <c r="J159" s="26">
        <f t="shared" si="16"/>
        <v>20.655000000000001</v>
      </c>
      <c r="K159" s="26">
        <f t="shared" si="16"/>
        <v>20.655000000000001</v>
      </c>
      <c r="L159" s="26">
        <f t="shared" si="16"/>
        <v>20.655000000000001</v>
      </c>
      <c r="M159" s="26">
        <f t="shared" si="16"/>
        <v>20.655000000000001</v>
      </c>
      <c r="N159" s="26">
        <f t="shared" si="14"/>
        <v>250.69320000000002</v>
      </c>
      <c r="R159" s="2" t="s">
        <v>221</v>
      </c>
      <c r="S159" s="27" t="s">
        <v>542</v>
      </c>
    </row>
    <row r="161" spans="2:19" ht="16" x14ac:dyDescent="0.2">
      <c r="B161" s="49" t="s">
        <v>543</v>
      </c>
    </row>
    <row r="162" spans="2:19" ht="17" x14ac:dyDescent="0.2">
      <c r="B162" s="6" t="s">
        <v>544</v>
      </c>
      <c r="C162" s="4" t="s">
        <v>545</v>
      </c>
      <c r="D162" s="21">
        <f>0</f>
        <v>0</v>
      </c>
      <c r="E162" s="21">
        <f>0</f>
        <v>0</v>
      </c>
      <c r="F162" s="21">
        <f>0</f>
        <v>0</v>
      </c>
      <c r="G162" s="21">
        <f>0</f>
        <v>0</v>
      </c>
      <c r="H162" s="21">
        <f>0</f>
        <v>0</v>
      </c>
      <c r="I162" s="21">
        <f>0</f>
        <v>0</v>
      </c>
      <c r="J162" s="21">
        <f>0</f>
        <v>0</v>
      </c>
      <c r="K162" s="21">
        <f>0</f>
        <v>0</v>
      </c>
      <c r="L162" s="21">
        <f>0</f>
        <v>0</v>
      </c>
      <c r="M162" s="21">
        <f>0</f>
        <v>0</v>
      </c>
      <c r="N162" s="52">
        <f>SUM(D162:M162)</f>
        <v>0</v>
      </c>
      <c r="R162" s="4" t="s">
        <v>221</v>
      </c>
      <c r="S162" s="9" t="s">
        <v>118</v>
      </c>
    </row>
    <row r="163" spans="2:19" ht="17" x14ac:dyDescent="0.2">
      <c r="B163" s="6" t="s">
        <v>546</v>
      </c>
      <c r="C163" s="4" t="s">
        <v>547</v>
      </c>
      <c r="D163" s="21">
        <f t="shared" ref="D163:M163" si="17">D$151+D$159</f>
        <v>64.225079999999991</v>
      </c>
      <c r="E163" s="21">
        <f t="shared" si="17"/>
        <v>112.39658999999999</v>
      </c>
      <c r="F163" s="21">
        <f t="shared" si="17"/>
        <v>160.56270000000001</v>
      </c>
      <c r="G163" s="21">
        <f t="shared" si="17"/>
        <v>160.56270000000001</v>
      </c>
      <c r="H163" s="21">
        <f t="shared" si="17"/>
        <v>160.56270000000001</v>
      </c>
      <c r="I163" s="21">
        <f t="shared" si="17"/>
        <v>145.2627</v>
      </c>
      <c r="J163" s="21">
        <f t="shared" si="17"/>
        <v>145.2627</v>
      </c>
      <c r="K163" s="21">
        <f t="shared" si="17"/>
        <v>145.2627</v>
      </c>
      <c r="L163" s="21">
        <f t="shared" si="17"/>
        <v>145.2627</v>
      </c>
      <c r="M163" s="21">
        <f t="shared" si="17"/>
        <v>145.2627</v>
      </c>
      <c r="N163" s="52">
        <f>SUM(D163:M163)</f>
        <v>1384.62327</v>
      </c>
      <c r="R163" s="4" t="s">
        <v>221</v>
      </c>
      <c r="S163" s="9" t="s">
        <v>548</v>
      </c>
    </row>
    <row r="164" spans="2:19" ht="30" customHeight="1" x14ac:dyDescent="0.2">
      <c r="B164" s="6" t="s">
        <v>549</v>
      </c>
      <c r="C164" s="4" t="s">
        <v>550</v>
      </c>
      <c r="D164" s="58">
        <f>0</f>
        <v>0</v>
      </c>
      <c r="E164" s="58">
        <f t="shared" ref="E164:M164" si="18">IF(D$165&lt;0,D$165,IF(D$167="Fail",MAX(0,D$165),0))</f>
        <v>0</v>
      </c>
      <c r="F164" s="58">
        <f t="shared" si="18"/>
        <v>0</v>
      </c>
      <c r="G164" s="58">
        <f t="shared" si="18"/>
        <v>0</v>
      </c>
      <c r="H164" s="58">
        <f t="shared" si="18"/>
        <v>0</v>
      </c>
      <c r="I164" s="58">
        <f t="shared" si="18"/>
        <v>0</v>
      </c>
      <c r="J164" s="58">
        <f t="shared" si="18"/>
        <v>0</v>
      </c>
      <c r="K164" s="58">
        <f t="shared" si="18"/>
        <v>0</v>
      </c>
      <c r="L164" s="58">
        <f t="shared" si="18"/>
        <v>0</v>
      </c>
      <c r="M164" s="58">
        <f t="shared" si="18"/>
        <v>0</v>
      </c>
      <c r="R164" s="4" t="s">
        <v>221</v>
      </c>
      <c r="S164" s="9" t="s">
        <v>551</v>
      </c>
    </row>
    <row r="165" spans="2:19" ht="17" x14ac:dyDescent="0.2">
      <c r="B165" s="35" t="s">
        <v>552</v>
      </c>
      <c r="C165" s="2" t="s">
        <v>553</v>
      </c>
      <c r="D165" s="59">
        <f t="shared" ref="D165:M165" si="19">D$140-D$162-D$163+D$164</f>
        <v>444.17297940000049</v>
      </c>
      <c r="E165" s="59">
        <f t="shared" si="19"/>
        <v>777.3000139500009</v>
      </c>
      <c r="F165" s="59">
        <f t="shared" si="19"/>
        <v>1110.4324485000013</v>
      </c>
      <c r="G165" s="59">
        <f t="shared" si="19"/>
        <v>1110.4324485000013</v>
      </c>
      <c r="H165" s="59">
        <f t="shared" si="19"/>
        <v>1110.4324485000013</v>
      </c>
      <c r="I165" s="59">
        <f t="shared" si="19"/>
        <v>1125.7324485000013</v>
      </c>
      <c r="J165" s="59">
        <f t="shared" si="19"/>
        <v>1125.7324485000013</v>
      </c>
      <c r="K165" s="59">
        <f t="shared" si="19"/>
        <v>1125.7324485000013</v>
      </c>
      <c r="L165" s="59">
        <f t="shared" si="19"/>
        <v>1125.7324485000013</v>
      </c>
      <c r="M165" s="59">
        <f t="shared" si="19"/>
        <v>1125.7324485000013</v>
      </c>
      <c r="R165" s="2" t="s">
        <v>221</v>
      </c>
      <c r="S165" s="27" t="s">
        <v>554</v>
      </c>
    </row>
    <row r="166" spans="2:19" ht="17" x14ac:dyDescent="0.2">
      <c r="B166" s="6" t="s">
        <v>555</v>
      </c>
      <c r="C166" s="4" t="s">
        <v>556</v>
      </c>
      <c r="D166" s="60">
        <f t="shared" ref="D166:M166" si="20">IF(D$150&gt;0,D$139/D$150,IF(D$139&gt;0,999,0))</f>
        <v>14.654431467718304</v>
      </c>
      <c r="E166" s="60">
        <f t="shared" si="20"/>
        <v>14.654431467718302</v>
      </c>
      <c r="F166" s="60">
        <f t="shared" si="20"/>
        <v>14.654431467718302</v>
      </c>
      <c r="G166" s="60">
        <f t="shared" si="20"/>
        <v>14.654431467718302</v>
      </c>
      <c r="H166" s="60">
        <f t="shared" si="20"/>
        <v>14.654431467718302</v>
      </c>
      <c r="I166" s="60">
        <f t="shared" si="20"/>
        <v>14.654431467718302</v>
      </c>
      <c r="J166" s="60">
        <f t="shared" si="20"/>
        <v>14.654431467718302</v>
      </c>
      <c r="K166" s="60">
        <f t="shared" si="20"/>
        <v>14.654431467718302</v>
      </c>
      <c r="L166" s="60">
        <f t="shared" si="20"/>
        <v>14.654431467718302</v>
      </c>
      <c r="M166" s="60">
        <f t="shared" si="20"/>
        <v>14.654431467718302</v>
      </c>
      <c r="R166" s="4" t="s">
        <v>382</v>
      </c>
      <c r="S166" s="9" t="s">
        <v>514</v>
      </c>
    </row>
    <row r="167" spans="2:19" ht="17" x14ac:dyDescent="0.2">
      <c r="B167" s="6" t="s">
        <v>557</v>
      </c>
      <c r="C167" s="4"/>
      <c r="D167" s="4" t="str">
        <f>IF(D$115=0,"n/a",IF(D$166&gt;=Defaults!$C$6,"Pass","Fail"))</f>
        <v>Pass</v>
      </c>
      <c r="E167" s="4" t="str">
        <f>IF(E$115=0,"n/a",IF(E$166&gt;=Defaults!$C$6,"Pass","Fail"))</f>
        <v>Pass</v>
      </c>
      <c r="F167" s="4" t="str">
        <f>IF(F$115=0,"n/a",IF(F$166&gt;=Defaults!$C$6,"Pass","Fail"))</f>
        <v>Pass</v>
      </c>
      <c r="G167" s="4" t="str">
        <f>IF(G$115=0,"n/a",IF(G$166&gt;=Defaults!$C$6,"Pass","Fail"))</f>
        <v>Pass</v>
      </c>
      <c r="H167" s="4" t="str">
        <f>IF(H$115=0,"n/a",IF(H$166&gt;=Defaults!$C$6,"Pass","Fail"))</f>
        <v>Pass</v>
      </c>
      <c r="I167" s="4" t="str">
        <f>IF(I$115=0,"n/a",IF(I$166&gt;=Defaults!$C$6,"Pass","Fail"))</f>
        <v>Pass</v>
      </c>
      <c r="J167" s="4" t="str">
        <f>IF(J$115=0,"n/a",IF(J$166&gt;=Defaults!$C$6,"Pass","Fail"))</f>
        <v>Pass</v>
      </c>
      <c r="K167" s="4" t="str">
        <f>IF(K$115=0,"n/a",IF(K$166&gt;=Defaults!$C$6,"Pass","Fail"))</f>
        <v>Pass</v>
      </c>
      <c r="L167" s="4" t="str">
        <f>IF(L$115=0,"n/a",IF(L$166&gt;=Defaults!$C$6,"Pass","Fail"))</f>
        <v>Pass</v>
      </c>
      <c r="M167" s="4" t="str">
        <f>IF(M$115=0,"n/a",IF(M$166&gt;=Defaults!$C$6,"Pass","Fail"))</f>
        <v>Pass</v>
      </c>
      <c r="N167" s="61">
        <f>COUNTIF(D167:M167,"Fail")</f>
        <v>0</v>
      </c>
      <c r="R167" s="4"/>
      <c r="S167" s="9" t="s">
        <v>163</v>
      </c>
    </row>
    <row r="168" spans="2:19" ht="17" x14ac:dyDescent="0.2">
      <c r="B168" s="6" t="s">
        <v>558</v>
      </c>
      <c r="C168" s="4" t="s">
        <v>559</v>
      </c>
      <c r="D168" s="21">
        <f t="shared" ref="D168:M168" si="21">IF(D$167="Pass",MAX(0,D$165)*$D$46,0)</f>
        <v>44.417297940000054</v>
      </c>
      <c r="E168" s="21">
        <f t="shared" si="21"/>
        <v>77.730001395000102</v>
      </c>
      <c r="F168" s="21">
        <f t="shared" si="21"/>
        <v>111.04324485000014</v>
      </c>
      <c r="G168" s="21">
        <f t="shared" si="21"/>
        <v>111.04324485000014</v>
      </c>
      <c r="H168" s="21">
        <f t="shared" si="21"/>
        <v>111.04324485000014</v>
      </c>
      <c r="I168" s="21">
        <f t="shared" si="21"/>
        <v>112.57324485000014</v>
      </c>
      <c r="J168" s="21">
        <f t="shared" si="21"/>
        <v>112.57324485000014</v>
      </c>
      <c r="K168" s="21">
        <f t="shared" si="21"/>
        <v>112.57324485000014</v>
      </c>
      <c r="L168" s="21">
        <f t="shared" si="21"/>
        <v>112.57324485000014</v>
      </c>
      <c r="M168" s="21">
        <f t="shared" si="21"/>
        <v>112.57324485000014</v>
      </c>
      <c r="N168" s="52">
        <f>SUM(D168:M168)</f>
        <v>1018.1432581350012</v>
      </c>
      <c r="R168" s="4" t="s">
        <v>221</v>
      </c>
      <c r="S168" s="9" t="s">
        <v>560</v>
      </c>
    </row>
    <row r="169" spans="2:19" ht="17" x14ac:dyDescent="0.2">
      <c r="B169" s="6" t="s">
        <v>233</v>
      </c>
      <c r="C169" s="4" t="s">
        <v>561</v>
      </c>
      <c r="D169" s="21">
        <f t="shared" ref="D169:M169" si="22">IF(D$167="Pass",MAX(0,D$165)*D$132,0)</f>
        <v>5.5521622425000068</v>
      </c>
      <c r="E169" s="21">
        <f t="shared" si="22"/>
        <v>9.7162501743750127</v>
      </c>
      <c r="F169" s="21">
        <f t="shared" si="22"/>
        <v>13.880405606250017</v>
      </c>
      <c r="G169" s="21">
        <f t="shared" si="22"/>
        <v>13.880405606250017</v>
      </c>
      <c r="H169" s="21">
        <f t="shared" si="22"/>
        <v>13.880405606250017</v>
      </c>
      <c r="I169" s="21">
        <f t="shared" si="22"/>
        <v>14.071655606250017</v>
      </c>
      <c r="J169" s="21">
        <f t="shared" si="22"/>
        <v>14.071655606250017</v>
      </c>
      <c r="K169" s="21">
        <f t="shared" si="22"/>
        <v>14.071655606250017</v>
      </c>
      <c r="L169" s="21">
        <f t="shared" si="22"/>
        <v>14.071655606250017</v>
      </c>
      <c r="M169" s="21">
        <f t="shared" si="22"/>
        <v>14.071655606250017</v>
      </c>
      <c r="N169" s="52">
        <f>SUM(D169:M169)</f>
        <v>127.26790726687516</v>
      </c>
      <c r="R169" s="4" t="s">
        <v>221</v>
      </c>
      <c r="S169" s="9" t="s">
        <v>562</v>
      </c>
    </row>
    <row r="170" spans="2:19" ht="17" x14ac:dyDescent="0.2">
      <c r="B170" s="6" t="s">
        <v>563</v>
      </c>
      <c r="C170" s="4" t="s">
        <v>564</v>
      </c>
      <c r="D170" s="21">
        <f t="shared" ref="D170:M170" si="23">IF(D$167="Pass",MAX(0,D$165-D$168-D$169),0)</f>
        <v>394.20351921750046</v>
      </c>
      <c r="E170" s="21">
        <f t="shared" si="23"/>
        <v>689.85376238062588</v>
      </c>
      <c r="F170" s="21">
        <f t="shared" si="23"/>
        <v>985.50879804375109</v>
      </c>
      <c r="G170" s="21">
        <f t="shared" si="23"/>
        <v>985.50879804375109</v>
      </c>
      <c r="H170" s="21">
        <f t="shared" si="23"/>
        <v>985.50879804375109</v>
      </c>
      <c r="I170" s="21">
        <f t="shared" si="23"/>
        <v>999.0875480437511</v>
      </c>
      <c r="J170" s="21">
        <f t="shared" si="23"/>
        <v>999.0875480437511</v>
      </c>
      <c r="K170" s="21">
        <f t="shared" si="23"/>
        <v>999.0875480437511</v>
      </c>
      <c r="L170" s="21">
        <f t="shared" si="23"/>
        <v>999.0875480437511</v>
      </c>
      <c r="M170" s="21">
        <f t="shared" si="23"/>
        <v>999.0875480437511</v>
      </c>
      <c r="N170" s="52">
        <f>SUM(D170:M170)</f>
        <v>9036.0214159481347</v>
      </c>
      <c r="R170" s="4" t="s">
        <v>221</v>
      </c>
      <c r="S170" s="9" t="s">
        <v>565</v>
      </c>
    </row>
    <row r="171" spans="2:19" ht="30" customHeight="1" x14ac:dyDescent="0.2">
      <c r="B171" s="35" t="s">
        <v>566</v>
      </c>
      <c r="C171" s="2" t="s">
        <v>567</v>
      </c>
      <c r="D171" s="26">
        <f>IF($D$21="Track 1",MIN(Defaults!$C$46,D$170),D$170)</f>
        <v>394.20351921750046</v>
      </c>
      <c r="E171" s="26">
        <f>IF($D$21="Track 1",MIN(Defaults!$C$46,E$170),E$170)</f>
        <v>689.85376238062588</v>
      </c>
      <c r="F171" s="26">
        <f>IF($D$21="Track 1",MIN(Defaults!$C$46,F$170),F$170)</f>
        <v>985.50879804375109</v>
      </c>
      <c r="G171" s="26">
        <f>IF($D$21="Track 1",MIN(Defaults!$C$46,G$170),G$170)</f>
        <v>985.50879804375109</v>
      </c>
      <c r="H171" s="26">
        <f>IF($D$21="Track 1",MIN(Defaults!$C$46,H$170),H$170)</f>
        <v>985.50879804375109</v>
      </c>
      <c r="I171" s="26">
        <f>IF($D$21="Track 1",MIN(Defaults!$C$46,I$170),I$170)</f>
        <v>999.0875480437511</v>
      </c>
      <c r="J171" s="26">
        <f>IF($D$21="Track 1",MIN(Defaults!$C$46,J$170),J$170)</f>
        <v>999.0875480437511</v>
      </c>
      <c r="K171" s="26">
        <f>IF($D$21="Track 1",MIN(Defaults!$C$46,K$170),K$170)</f>
        <v>999.0875480437511</v>
      </c>
      <c r="L171" s="26">
        <f>IF($D$21="Track 1",MIN(Defaults!$C$46,L$170),L$170)</f>
        <v>999.0875480437511</v>
      </c>
      <c r="M171" s="26">
        <f>IF($D$21="Track 1",MIN(Defaults!$C$46,M$170),M$170)</f>
        <v>999.0875480437511</v>
      </c>
      <c r="N171" s="26">
        <f>SUM(D171:M171)</f>
        <v>9036.0214159481347</v>
      </c>
      <c r="R171" s="2" t="s">
        <v>221</v>
      </c>
      <c r="S171" s="27" t="s">
        <v>568</v>
      </c>
    </row>
    <row r="172" spans="2:19" ht="30" customHeight="1" x14ac:dyDescent="0.2">
      <c r="B172" s="6" t="s">
        <v>569</v>
      </c>
      <c r="C172" s="4"/>
      <c r="D172" s="21">
        <f t="shared" ref="D172:M172" si="24">D$170-D$171</f>
        <v>0</v>
      </c>
      <c r="E172" s="21">
        <f t="shared" si="24"/>
        <v>0</v>
      </c>
      <c r="F172" s="21">
        <f t="shared" si="24"/>
        <v>0</v>
      </c>
      <c r="G172" s="21">
        <f t="shared" si="24"/>
        <v>0</v>
      </c>
      <c r="H172" s="21">
        <f t="shared" si="24"/>
        <v>0</v>
      </c>
      <c r="I172" s="21">
        <f t="shared" si="24"/>
        <v>0</v>
      </c>
      <c r="J172" s="21">
        <f t="shared" si="24"/>
        <v>0</v>
      </c>
      <c r="K172" s="21">
        <f t="shared" si="24"/>
        <v>0</v>
      </c>
      <c r="L172" s="21">
        <f t="shared" si="24"/>
        <v>0</v>
      </c>
      <c r="M172" s="21">
        <f t="shared" si="24"/>
        <v>0</v>
      </c>
      <c r="N172" s="52">
        <f>SUM(D172:M172)</f>
        <v>0</v>
      </c>
      <c r="R172" s="4" t="s">
        <v>221</v>
      </c>
      <c r="S172" s="9" t="s">
        <v>240</v>
      </c>
    </row>
  </sheetData>
  <sheetProtection password="8666" sheet="1" formatColumns="0" formatRows="0"/>
  <mergeCells count="1">
    <mergeCell ref="B3:F3"/>
  </mergeCells>
  <pageMargins left="0.75" right="0.75" top="1" bottom="1" header="0.511811023622047" footer="0.511811023622047"/>
  <pageSetup paperSize="9" orientation="portrait" horizontalDpi="300" verticalDpi="300"/>
  <extLst>
    <ext xmlns:x14="http://schemas.microsoft.com/office/spreadsheetml/2009/9/main" uri="{CCE6A557-97BC-4b89-ADB6-D9C93CAAB3DF}">
      <x14:dataValidations xmlns:xm="http://schemas.microsoft.com/office/excel/2006/main" count="18">
        <x14:dataValidation type="list" xr:uid="{00000000-0002-0000-0900-000000000000}">
          <x14:formula1>
            <xm:f>Lists!$B$2:$B$4</xm:f>
          </x14:formula1>
          <x14:formula2>
            <xm:f>0</xm:f>
          </x14:formula2>
          <xm:sqref>D21</xm:sqref>
        </x14:dataValidation>
        <x14:dataValidation type="list" xr:uid="{00000000-0002-0000-0900-000001000000}">
          <x14:formula1>
            <xm:f>Lists!$C$2:$C$4</xm:f>
          </x14:formula1>
          <x14:formula2>
            <xm:f>0</xm:f>
          </x14:formula2>
          <xm:sqref>D22</xm:sqref>
        </x14:dataValidation>
        <x14:dataValidation type="list" xr:uid="{00000000-0002-0000-0900-000002000000}">
          <x14:formula1>
            <xm:f>Lists!$D$2:$D$7</xm:f>
          </x14:formula1>
          <x14:formula2>
            <xm:f>0</xm:f>
          </x14:formula2>
          <xm:sqref>D23</xm:sqref>
        </x14:dataValidation>
        <x14:dataValidation type="list" xr:uid="{00000000-0002-0000-0900-000003000000}">
          <x14:formula1>
            <xm:f>Lists!$J$2:$J$3</xm:f>
          </x14:formula1>
          <x14:formula2>
            <xm:f>0</xm:f>
          </x14:formula2>
          <xm:sqref>D30 D90 D55</xm:sqref>
        </x14:dataValidation>
        <x14:dataValidation type="list" xr:uid="{00000000-0002-0000-0900-000004000000}">
          <x14:formula1>
            <xm:f>Lists!$P$2:$P$3</xm:f>
          </x14:formula1>
          <x14:formula2>
            <xm:f>0</xm:f>
          </x14:formula2>
          <xm:sqref>D45</xm:sqref>
        </x14:dataValidation>
        <x14:dataValidation type="list" xr:uid="{00000000-0002-0000-0900-000005000000}">
          <x14:formula1>
            <xm:f>Defaults!$B$52:$B$57</xm:f>
          </x14:formula1>
          <x14:formula2>
            <xm:f>0</xm:f>
          </x14:formula2>
          <xm:sqref>D50</xm:sqref>
        </x14:dataValidation>
        <x14:dataValidation type="list" xr:uid="{00000000-0002-0000-0900-000006000000}">
          <x14:formula1>
            <xm:f>Lists!$I$2:$I$3</xm:f>
          </x14:formula1>
          <x14:formula2>
            <xm:f>0</xm:f>
          </x14:formula2>
          <xm:sqref>D51</xm:sqref>
        </x14:dataValidation>
        <x14:dataValidation type="list" xr:uid="{00000000-0002-0000-0900-000007000000}">
          <x14:formula1>
            <xm:f>Lists!$G$2:$G$4</xm:f>
          </x14:formula1>
          <x14:formula2>
            <xm:f>0</xm:f>
          </x14:formula2>
          <xm:sqref>D54</xm:sqref>
        </x14:dataValidation>
        <x14:dataValidation type="list" xr:uid="{00000000-0002-0000-0900-000009000000}">
          <x14:formula1>
            <xm:f>Defaults!$B$74:$B$79</xm:f>
          </x14:formula1>
          <x14:formula2>
            <xm:f>0</xm:f>
          </x14:formula2>
          <xm:sqref>D56</xm:sqref>
        </x14:dataValidation>
        <x14:dataValidation type="list" xr:uid="{00000000-0002-0000-0900-00000A000000}">
          <x14:formula1>
            <xm:f>Lists!$L$2:$L$4</xm:f>
          </x14:formula1>
          <x14:formula2>
            <xm:f>0</xm:f>
          </x14:formula2>
          <xm:sqref>D58</xm:sqref>
        </x14:dataValidation>
        <x14:dataValidation type="list" xr:uid="{00000000-0002-0000-0900-00000B000000}">
          <x14:formula1>
            <xm:f>Lists!$O$2:$O$5</xm:f>
          </x14:formula1>
          <x14:formula2>
            <xm:f>0</xm:f>
          </x14:formula2>
          <xm:sqref>D61</xm:sqref>
        </x14:dataValidation>
        <x14:dataValidation type="list" xr:uid="{00000000-0002-0000-0900-00000C000000}">
          <x14:formula1>
            <xm:f>Lists!$Q$2:$Q$4</xm:f>
          </x14:formula1>
          <x14:formula2>
            <xm:f>0</xm:f>
          </x14:formula2>
          <xm:sqref>D69</xm:sqref>
        </x14:dataValidation>
        <x14:dataValidation type="list" xr:uid="{00000000-0002-0000-0900-00000D000000}">
          <x14:formula1>
            <xm:f>Lists!$K$2:$K$3</xm:f>
          </x14:formula1>
          <x14:formula2>
            <xm:f>0</xm:f>
          </x14:formula2>
          <xm:sqref>D74</xm:sqref>
        </x14:dataValidation>
        <x14:dataValidation type="list" xr:uid="{00000000-0002-0000-0900-00000E000000}">
          <x14:formula1>
            <xm:f>Lists!$E$2:$E$3</xm:f>
          </x14:formula1>
          <x14:formula2>
            <xm:f>0</xm:f>
          </x14:formula2>
          <xm:sqref>D77</xm:sqref>
        </x14:dataValidation>
        <x14:dataValidation type="list" xr:uid="{00000000-0002-0000-0900-00000F000000}">
          <x14:formula1>
            <xm:f>Lists!$F$2:$F$4</xm:f>
          </x14:formula1>
          <x14:formula2>
            <xm:f>0</xm:f>
          </x14:formula2>
          <xm:sqref>D84</xm:sqref>
        </x14:dataValidation>
        <x14:dataValidation type="list" xr:uid="{00000000-0002-0000-0900-000010000000}">
          <x14:formula1>
            <xm:f>Defaults!$B$67:$B$70</xm:f>
          </x14:formula1>
          <x14:formula2>
            <xm:f>0</xm:f>
          </x14:formula2>
          <xm:sqref>D89</xm:sqref>
        </x14:dataValidation>
        <x14:dataValidation type="list" xr:uid="{00000000-0002-0000-0900-000012000000}">
          <x14:formula1>
            <xm:f>Lists!$H$2:$H$5</xm:f>
          </x14:formula1>
          <x14:formula2>
            <xm:f>0</xm:f>
          </x14:formula2>
          <xm:sqref>D97</xm:sqref>
        </x14:dataValidation>
        <x14:dataValidation type="list" xr:uid="{00000000-0002-0000-0900-000013000000}">
          <x14:formula1>
            <xm:f>Lists!$N$2:$N$3</xm:f>
          </x14:formula1>
          <x14:formula2>
            <xm:f>0</xm:f>
          </x14:formula2>
          <xm:sqref>D104</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S172"/>
  <sheetViews>
    <sheetView showGridLines="0" zoomScaleNormal="100" workbookViewId="0">
      <pane xSplit="2" ySplit="4" topLeftCell="C5" activePane="bottomRight" state="frozen"/>
      <selection pane="topRight" activeCell="C1" sqref="C1"/>
      <selection pane="bottomLeft" activeCell="A5" sqref="A5"/>
      <selection pane="bottomRight"/>
    </sheetView>
  </sheetViews>
  <sheetFormatPr baseColWidth="10" defaultColWidth="8.5" defaultRowHeight="15" x14ac:dyDescent="0.2"/>
  <cols>
    <col min="1" max="1" width="3.1640625" customWidth="1"/>
    <col min="2" max="2" width="64" customWidth="1"/>
    <col min="3" max="3" width="22" customWidth="1"/>
    <col min="4" max="14" width="13" customWidth="1"/>
    <col min="18" max="18" width="16" customWidth="1"/>
    <col min="19" max="19" width="40" customWidth="1"/>
  </cols>
  <sheetData>
    <row r="1" spans="2:6" ht="25.5" customHeight="1" x14ac:dyDescent="0.25">
      <c r="B1" s="14" t="s">
        <v>597</v>
      </c>
    </row>
    <row r="2" spans="2:6" ht="16" x14ac:dyDescent="0.2">
      <c r="B2" s="9" t="s">
        <v>212</v>
      </c>
    </row>
    <row r="3" spans="2:6" ht="109.5" customHeight="1" x14ac:dyDescent="0.2">
      <c r="B3" s="80" t="s">
        <v>598</v>
      </c>
      <c r="C3" s="80"/>
      <c r="D3" s="80"/>
      <c r="E3" s="80"/>
      <c r="F3" s="80"/>
    </row>
    <row r="5" spans="2:6" ht="16" x14ac:dyDescent="0.2">
      <c r="B5" s="10" t="s">
        <v>214</v>
      </c>
      <c r="C5" s="11"/>
      <c r="D5" s="11"/>
      <c r="E5" s="11"/>
      <c r="F5" s="11"/>
    </row>
    <row r="6" spans="2:6" ht="16" x14ac:dyDescent="0.2">
      <c r="B6" s="12" t="s">
        <v>215</v>
      </c>
      <c r="C6" s="12" t="s">
        <v>216</v>
      </c>
      <c r="D6" s="12" t="s">
        <v>217</v>
      </c>
      <c r="E6" s="12" t="s">
        <v>218</v>
      </c>
      <c r="F6" s="12" t="s">
        <v>219</v>
      </c>
    </row>
    <row r="7" spans="2:6" ht="16" x14ac:dyDescent="0.2">
      <c r="B7" s="2" t="s">
        <v>220</v>
      </c>
      <c r="C7" s="25"/>
      <c r="D7" s="26">
        <f>$N$171</f>
        <v>26353.86327750003</v>
      </c>
      <c r="E7" s="2" t="s">
        <v>221</v>
      </c>
      <c r="F7" s="27" t="s">
        <v>222</v>
      </c>
    </row>
    <row r="8" spans="2:6" ht="16" x14ac:dyDescent="0.2">
      <c r="B8" s="2" t="s">
        <v>223</v>
      </c>
      <c r="C8" s="25"/>
      <c r="D8" s="22">
        <f>IF($N$136&gt;0,$N$171/$N$136,0)</f>
        <v>2.3962414327605051</v>
      </c>
      <c r="E8" s="2" t="s">
        <v>224</v>
      </c>
      <c r="F8" s="27"/>
    </row>
    <row r="9" spans="2:6" ht="16" x14ac:dyDescent="0.2">
      <c r="B9" s="2" t="s">
        <v>225</v>
      </c>
      <c r="C9" s="25"/>
      <c r="D9" s="26">
        <f>$N$136</f>
        <v>10997.999999999998</v>
      </c>
      <c r="E9" s="2" t="s">
        <v>226</v>
      </c>
      <c r="F9" s="27" t="s">
        <v>124</v>
      </c>
    </row>
    <row r="10" spans="2:6" ht="16" x14ac:dyDescent="0.2">
      <c r="B10" s="2" t="s">
        <v>227</v>
      </c>
      <c r="C10" s="25"/>
      <c r="D10" s="26">
        <f>$N$140</f>
        <v>29115.372000000028</v>
      </c>
      <c r="E10" s="2" t="s">
        <v>221</v>
      </c>
      <c r="F10" s="27" t="s">
        <v>121</v>
      </c>
    </row>
    <row r="11" spans="2:6" ht="16" x14ac:dyDescent="0.2">
      <c r="B11" s="2" t="s">
        <v>228</v>
      </c>
      <c r="C11" s="25"/>
      <c r="D11" s="26">
        <f>$N$151</f>
        <v>1316.8049999999996</v>
      </c>
      <c r="E11" s="2" t="s">
        <v>221</v>
      </c>
      <c r="F11" s="27" t="s">
        <v>134</v>
      </c>
    </row>
    <row r="12" spans="2:6" ht="16" x14ac:dyDescent="0.2">
      <c r="B12" s="2" t="s">
        <v>229</v>
      </c>
      <c r="C12" s="25"/>
      <c r="D12" s="26">
        <f>$N$159</f>
        <v>274.95</v>
      </c>
      <c r="E12" s="2" t="s">
        <v>221</v>
      </c>
      <c r="F12" s="27" t="s">
        <v>230</v>
      </c>
    </row>
    <row r="13" spans="2:6" ht="16" x14ac:dyDescent="0.2">
      <c r="B13" s="2" t="s">
        <v>231</v>
      </c>
      <c r="C13" s="25"/>
      <c r="D13" s="26">
        <f>$N$168</f>
        <v>825.70851000000107</v>
      </c>
      <c r="E13" s="2" t="s">
        <v>221</v>
      </c>
      <c r="F13" s="27" t="s">
        <v>232</v>
      </c>
    </row>
    <row r="14" spans="2:6" ht="16" x14ac:dyDescent="0.2">
      <c r="B14" s="2" t="s">
        <v>233</v>
      </c>
      <c r="C14" s="25"/>
      <c r="D14" s="26">
        <f>$N$169</f>
        <v>344.04521250000039</v>
      </c>
      <c r="E14" s="2" t="s">
        <v>221</v>
      </c>
      <c r="F14" s="27" t="s">
        <v>234</v>
      </c>
    </row>
    <row r="15" spans="2:6" ht="16" x14ac:dyDescent="0.2">
      <c r="B15" s="2" t="s">
        <v>235</v>
      </c>
      <c r="C15" s="25"/>
      <c r="D15" s="28">
        <f>$N$167</f>
        <v>0</v>
      </c>
      <c r="E15" s="2" t="s">
        <v>236</v>
      </c>
      <c r="F15" s="27" t="s">
        <v>163</v>
      </c>
    </row>
    <row r="16" spans="2:6" ht="16" x14ac:dyDescent="0.2">
      <c r="B16" s="2" t="s">
        <v>237</v>
      </c>
      <c r="C16" s="25"/>
      <c r="D16" s="28">
        <f>COUNTIF(D165:M165,"&lt;0")</f>
        <v>0</v>
      </c>
      <c r="E16" s="2" t="s">
        <v>236</v>
      </c>
      <c r="F16" s="27" t="s">
        <v>238</v>
      </c>
    </row>
    <row r="17" spans="2:6" ht="16" x14ac:dyDescent="0.2">
      <c r="B17" s="2" t="s">
        <v>239</v>
      </c>
      <c r="C17" s="25"/>
      <c r="D17" s="26">
        <f>$N$172</f>
        <v>0</v>
      </c>
      <c r="E17" s="2" t="s">
        <v>221</v>
      </c>
      <c r="F17" s="27" t="s">
        <v>240</v>
      </c>
    </row>
    <row r="18" spans="2:6" ht="16" x14ac:dyDescent="0.2">
      <c r="B18" s="2" t="s">
        <v>241</v>
      </c>
      <c r="C18" s="25"/>
      <c r="D18" s="29" t="str">
        <f>IF(AND($D$83&lt;&gt;"Not creditable under Method 1 (H:Corg above 0.50)",$D$83&lt;&gt;"Track 1 default-route limit 0.40 exceeded — test the batch",$D$60&lt;&gt;"Below the 70% floor — residue not eligible",$D$93&lt;&gt;"Above the 50 t/ha cap",COUNTIF(D138:M138,"Above ceiling")=0,$D$110="OK"),"OK","Check Parts A to F: "&amp;$D$83&amp;"; "&amp;$D$60&amp;"; "&amp;$D$93&amp;"; mass-balance flags "&amp;COUNTIF(D138:M138,"Above ceiling")&amp;"; "&amp;$D$110)</f>
        <v>OK</v>
      </c>
      <c r="E18" s="2"/>
      <c r="F18" s="27"/>
    </row>
    <row r="19" spans="2:6" ht="16" x14ac:dyDescent="0.2">
      <c r="B19" s="10" t="s">
        <v>242</v>
      </c>
      <c r="C19" s="11"/>
      <c r="D19" s="11"/>
      <c r="E19" s="11"/>
      <c r="F19" s="11"/>
    </row>
    <row r="20" spans="2:6" ht="16" x14ac:dyDescent="0.2">
      <c r="B20" s="12" t="s">
        <v>215</v>
      </c>
      <c r="C20" s="12" t="s">
        <v>216</v>
      </c>
      <c r="D20" s="12" t="s">
        <v>217</v>
      </c>
      <c r="E20" s="12" t="s">
        <v>218</v>
      </c>
      <c r="F20" s="12" t="s">
        <v>219</v>
      </c>
    </row>
    <row r="21" spans="2:6" ht="51" x14ac:dyDescent="0.2">
      <c r="B21" s="6" t="s">
        <v>243</v>
      </c>
      <c r="C21" s="4"/>
      <c r="D21" s="30" t="s">
        <v>577</v>
      </c>
      <c r="E21" s="4"/>
      <c r="F21" s="1" t="s">
        <v>245</v>
      </c>
    </row>
    <row r="22" spans="2:6" ht="17" x14ac:dyDescent="0.2">
      <c r="B22" s="6" t="s">
        <v>179</v>
      </c>
      <c r="C22" s="4"/>
      <c r="D22" s="30" t="s">
        <v>599</v>
      </c>
      <c r="E22" s="4"/>
      <c r="F22" s="1" t="s">
        <v>247</v>
      </c>
    </row>
    <row r="23" spans="2:6" ht="17" x14ac:dyDescent="0.2">
      <c r="B23" s="6" t="s">
        <v>180</v>
      </c>
      <c r="C23" s="4"/>
      <c r="D23" s="30" t="s">
        <v>578</v>
      </c>
      <c r="E23" s="4"/>
      <c r="F23" s="1" t="s">
        <v>249</v>
      </c>
    </row>
    <row r="24" spans="2:6" ht="17" x14ac:dyDescent="0.2">
      <c r="B24" s="6" t="s">
        <v>250</v>
      </c>
      <c r="C24" s="4"/>
      <c r="D24" s="30" t="s">
        <v>600</v>
      </c>
      <c r="E24" s="4"/>
      <c r="F24" s="1" t="s">
        <v>240</v>
      </c>
    </row>
    <row r="25" spans="2:6" ht="30" customHeight="1" x14ac:dyDescent="0.2">
      <c r="B25" s="6" t="s">
        <v>252</v>
      </c>
      <c r="C25" s="4"/>
      <c r="D25" s="30">
        <v>5</v>
      </c>
      <c r="E25" s="4" t="s">
        <v>253</v>
      </c>
      <c r="F25" s="1" t="s">
        <v>254</v>
      </c>
    </row>
    <row r="26" spans="2:6" ht="45" customHeight="1" x14ac:dyDescent="0.2">
      <c r="B26" s="6" t="s">
        <v>255</v>
      </c>
      <c r="C26" s="4" t="s">
        <v>256</v>
      </c>
      <c r="D26" s="30"/>
      <c r="E26" s="4" t="s">
        <v>257</v>
      </c>
      <c r="F26" s="1" t="s">
        <v>258</v>
      </c>
    </row>
    <row r="27" spans="2:6" ht="30" customHeight="1" x14ac:dyDescent="0.2">
      <c r="B27" s="6" t="s">
        <v>259</v>
      </c>
      <c r="C27" s="4" t="s">
        <v>256</v>
      </c>
      <c r="D27" s="4">
        <f>ROUND(MIN(Defaults!$C$16,MAX(Defaults!$C$15,CEILING(IF(ISNUMBER($D$26),$D$26,Defaults!$C$14),1))),0)</f>
        <v>25</v>
      </c>
      <c r="E27" s="4" t="s">
        <v>257</v>
      </c>
      <c r="F27" s="1" t="s">
        <v>260</v>
      </c>
    </row>
    <row r="28" spans="2:6" ht="45" customHeight="1" x14ac:dyDescent="0.2">
      <c r="B28" s="6" t="s">
        <v>261</v>
      </c>
      <c r="C28" s="4" t="s">
        <v>262</v>
      </c>
      <c r="D28" s="31">
        <f>Defaults!$C$47</f>
        <v>1.2500000000000001E-2</v>
      </c>
      <c r="E28" s="4" t="s">
        <v>263</v>
      </c>
      <c r="F28" s="1" t="s">
        <v>264</v>
      </c>
    </row>
    <row r="29" spans="2:6" ht="17" x14ac:dyDescent="0.2">
      <c r="B29" s="6" t="s">
        <v>265</v>
      </c>
      <c r="C29" s="4" t="s">
        <v>266</v>
      </c>
      <c r="D29" s="3">
        <f>Defaults!$C$4</f>
        <v>28</v>
      </c>
      <c r="E29" s="4" t="s">
        <v>267</v>
      </c>
      <c r="F29" s="1" t="s">
        <v>268</v>
      </c>
    </row>
    <row r="30" spans="2:6" ht="45" customHeight="1" x14ac:dyDescent="0.2">
      <c r="B30" s="6" t="s">
        <v>269</v>
      </c>
      <c r="C30" s="4"/>
      <c r="D30" s="30" t="s">
        <v>270</v>
      </c>
      <c r="E30" s="4"/>
      <c r="F30" s="1" t="s">
        <v>271</v>
      </c>
    </row>
    <row r="31" spans="2:6" ht="30" customHeight="1" x14ac:dyDescent="0.2">
      <c r="B31" s="6" t="s">
        <v>272</v>
      </c>
      <c r="C31" s="4" t="s">
        <v>273</v>
      </c>
      <c r="D31" s="32">
        <v>0</v>
      </c>
      <c r="E31" s="4" t="s">
        <v>263</v>
      </c>
      <c r="F31" s="1" t="s">
        <v>274</v>
      </c>
    </row>
    <row r="32" spans="2:6" ht="51" x14ac:dyDescent="0.2">
      <c r="B32" s="6" t="s">
        <v>275</v>
      </c>
      <c r="C32" s="4" t="s">
        <v>276</v>
      </c>
      <c r="D32" s="32">
        <v>0</v>
      </c>
      <c r="E32" s="4" t="s">
        <v>263</v>
      </c>
      <c r="F32" s="1" t="s">
        <v>277</v>
      </c>
    </row>
    <row r="33" spans="2:6" ht="30" customHeight="1" x14ac:dyDescent="0.2">
      <c r="B33" s="6" t="s">
        <v>278</v>
      </c>
      <c r="C33" s="4" t="s">
        <v>279</v>
      </c>
      <c r="D33" s="32">
        <v>0</v>
      </c>
      <c r="E33" s="4" t="s">
        <v>263</v>
      </c>
      <c r="F33" s="1" t="s">
        <v>280</v>
      </c>
    </row>
    <row r="34" spans="2:6" ht="17" x14ac:dyDescent="0.2">
      <c r="B34" s="6" t="s">
        <v>281</v>
      </c>
      <c r="C34" s="4" t="s">
        <v>282</v>
      </c>
      <c r="D34" s="20">
        <f>SQRT($D$31^2+$D$32^2+$D$33^2)</f>
        <v>0</v>
      </c>
      <c r="E34" s="4" t="s">
        <v>263</v>
      </c>
      <c r="F34" s="1" t="s">
        <v>283</v>
      </c>
    </row>
    <row r="35" spans="2:6" ht="30" customHeight="1" x14ac:dyDescent="0.2">
      <c r="B35" s="6" t="s">
        <v>284</v>
      </c>
      <c r="C35" s="4" t="s">
        <v>282</v>
      </c>
      <c r="D35" s="32">
        <v>0</v>
      </c>
      <c r="E35" s="4" t="s">
        <v>263</v>
      </c>
      <c r="F35" s="1" t="s">
        <v>285</v>
      </c>
    </row>
    <row r="36" spans="2:6" ht="51" x14ac:dyDescent="0.2">
      <c r="B36" s="6" t="s">
        <v>286</v>
      </c>
      <c r="C36" s="4" t="s">
        <v>287</v>
      </c>
      <c r="D36" s="20">
        <f>IF($D$21="Track 1",Defaults!$C$7,IF($D$21="Track 2",IF($D$30="Yes",MAX(0,$D$34-Defaults!$C$9),Defaults!$C$8),MAX(0,$D$34-Defaults!$C$9)))</f>
        <v>0.05</v>
      </c>
      <c r="E36" s="4" t="s">
        <v>263</v>
      </c>
      <c r="F36" s="1" t="s">
        <v>288</v>
      </c>
    </row>
    <row r="37" spans="2:6" ht="34" x14ac:dyDescent="0.2">
      <c r="B37" s="6" t="s">
        <v>289</v>
      </c>
      <c r="C37" s="4" t="s">
        <v>290</v>
      </c>
      <c r="D37" s="20">
        <f>IF($D$21="Track 1",Defaults!$C$7,IF($D$21="Track 2",Defaults!$C$8,MAX(0,$D$35-Defaults!$C$10)))</f>
        <v>0.05</v>
      </c>
      <c r="E37" s="4" t="s">
        <v>263</v>
      </c>
      <c r="F37" s="1" t="s">
        <v>291</v>
      </c>
    </row>
    <row r="38" spans="2:6" ht="30" customHeight="1" x14ac:dyDescent="0.2">
      <c r="B38" s="6" t="s">
        <v>292</v>
      </c>
      <c r="C38" s="4" t="s">
        <v>293</v>
      </c>
      <c r="D38" s="33">
        <v>0</v>
      </c>
      <c r="E38" s="4" t="s">
        <v>263</v>
      </c>
      <c r="F38" s="1" t="s">
        <v>294</v>
      </c>
    </row>
    <row r="40" spans="2:6" ht="16" x14ac:dyDescent="0.2">
      <c r="B40" s="10" t="s">
        <v>295</v>
      </c>
      <c r="C40" s="11"/>
      <c r="D40" s="11"/>
      <c r="E40" s="11"/>
      <c r="F40" s="11"/>
    </row>
    <row r="41" spans="2:6" ht="16" x14ac:dyDescent="0.2">
      <c r="B41" s="12" t="s">
        <v>215</v>
      </c>
      <c r="C41" s="12" t="s">
        <v>216</v>
      </c>
      <c r="D41" s="12" t="s">
        <v>217</v>
      </c>
      <c r="E41" s="12" t="s">
        <v>218</v>
      </c>
      <c r="F41" s="12" t="s">
        <v>219</v>
      </c>
    </row>
    <row r="42" spans="2:6" ht="30" customHeight="1" x14ac:dyDescent="0.2">
      <c r="B42" s="6" t="s">
        <v>296</v>
      </c>
      <c r="C42" s="4"/>
      <c r="D42" s="34">
        <f>'Annex 7'!J20</f>
        <v>0</v>
      </c>
      <c r="E42" s="4" t="s">
        <v>263</v>
      </c>
      <c r="F42" s="1" t="s">
        <v>297</v>
      </c>
    </row>
    <row r="43" spans="2:6" ht="30" customHeight="1" x14ac:dyDescent="0.2">
      <c r="B43" s="6" t="s">
        <v>298</v>
      </c>
      <c r="C43" s="4"/>
      <c r="D43" s="34">
        <f>'Annex 7'!J21</f>
        <v>0</v>
      </c>
      <c r="E43" s="4" t="s">
        <v>263</v>
      </c>
      <c r="F43" s="1" t="s">
        <v>299</v>
      </c>
    </row>
    <row r="44" spans="2:6" ht="30" customHeight="1" x14ac:dyDescent="0.2">
      <c r="B44" s="6" t="s">
        <v>300</v>
      </c>
      <c r="C44" s="4" t="s">
        <v>301</v>
      </c>
      <c r="D44" s="34">
        <f>'Annex 7'!J23</f>
        <v>7.4999999999999997E-2</v>
      </c>
      <c r="E44" s="4" t="s">
        <v>263</v>
      </c>
      <c r="F44" s="1" t="s">
        <v>302</v>
      </c>
    </row>
    <row r="45" spans="2:6" ht="45" customHeight="1" x14ac:dyDescent="0.2">
      <c r="B45" s="6" t="s">
        <v>303</v>
      </c>
      <c r="C45" s="4"/>
      <c r="D45" s="30" t="s">
        <v>304</v>
      </c>
      <c r="E45" s="4"/>
      <c r="F45" s="1" t="s">
        <v>305</v>
      </c>
    </row>
    <row r="46" spans="2:6" ht="45" customHeight="1" x14ac:dyDescent="0.2">
      <c r="B46" s="35" t="s">
        <v>187</v>
      </c>
      <c r="C46" s="2" t="s">
        <v>301</v>
      </c>
      <c r="D46" s="24">
        <f>IF(LEFT($D$22,2)="A2",Defaults!$C$28,IF(LEFT($D$22,2)="A3",Defaults!$C$29,IF(OR($D$21="Track 1",AND($D$21="Track 2",LEFT($D$45,12)="Cancellation")),Defaults!$C$27,$D$44)))</f>
        <v>0.03</v>
      </c>
      <c r="E46" s="2" t="s">
        <v>263</v>
      </c>
      <c r="F46" s="36" t="s">
        <v>306</v>
      </c>
    </row>
    <row r="48" spans="2:6" ht="16" x14ac:dyDescent="0.2">
      <c r="B48" s="10" t="s">
        <v>307</v>
      </c>
      <c r="C48" s="11"/>
      <c r="D48" s="11"/>
      <c r="E48" s="11"/>
      <c r="F48" s="11"/>
    </row>
    <row r="49" spans="2:6" ht="16" x14ac:dyDescent="0.2">
      <c r="B49" s="12" t="s">
        <v>215</v>
      </c>
      <c r="C49" s="12" t="s">
        <v>216</v>
      </c>
      <c r="D49" s="12" t="s">
        <v>217</v>
      </c>
      <c r="E49" s="12" t="s">
        <v>218</v>
      </c>
      <c r="F49" s="12" t="s">
        <v>219</v>
      </c>
    </row>
    <row r="50" spans="2:6" ht="17" x14ac:dyDescent="0.2">
      <c r="B50" s="6" t="s">
        <v>308</v>
      </c>
      <c r="C50" s="4"/>
      <c r="D50" s="30" t="s">
        <v>309</v>
      </c>
      <c r="E50" s="4"/>
      <c r="F50" s="1" t="s">
        <v>310</v>
      </c>
    </row>
    <row r="51" spans="2:6" ht="30" customHeight="1" x14ac:dyDescent="0.2">
      <c r="B51" s="6" t="s">
        <v>311</v>
      </c>
      <c r="C51" s="4"/>
      <c r="D51" s="30" t="s">
        <v>581</v>
      </c>
      <c r="E51" s="4"/>
      <c r="F51" s="1" t="s">
        <v>313</v>
      </c>
    </row>
    <row r="52" spans="2:6" ht="34" x14ac:dyDescent="0.2">
      <c r="B52" s="6" t="s">
        <v>314</v>
      </c>
      <c r="C52" s="4" t="s">
        <v>315</v>
      </c>
      <c r="D52" s="37">
        <f>INDEX(Defaults!$D$52:$D$57,MATCH($D$50,Defaults!$B$52:$B$57,0))</f>
        <v>0.15</v>
      </c>
      <c r="E52" s="4" t="s">
        <v>316</v>
      </c>
      <c r="F52" s="1" t="s">
        <v>317</v>
      </c>
    </row>
    <row r="53" spans="2:6" ht="30" customHeight="1" x14ac:dyDescent="0.2">
      <c r="B53" s="6" t="s">
        <v>318</v>
      </c>
      <c r="C53" s="4" t="s">
        <v>319</v>
      </c>
      <c r="D53" s="37">
        <f>INDEX(Defaults!$E$52:$E$57,MATCH($D$50,Defaults!$B$52:$B$57,0))</f>
        <v>0.32</v>
      </c>
      <c r="E53" s="4" t="s">
        <v>320</v>
      </c>
      <c r="F53" s="1" t="s">
        <v>317</v>
      </c>
    </row>
    <row r="54" spans="2:6" ht="51" x14ac:dyDescent="0.2">
      <c r="B54" s="6" t="s">
        <v>321</v>
      </c>
      <c r="C54" s="4"/>
      <c r="D54" s="30" t="s">
        <v>322</v>
      </c>
      <c r="E54" s="4"/>
      <c r="F54" s="1" t="s">
        <v>323</v>
      </c>
    </row>
    <row r="55" spans="2:6" ht="34" x14ac:dyDescent="0.2">
      <c r="B55" s="6" t="s">
        <v>324</v>
      </c>
      <c r="C55" s="4"/>
      <c r="D55" s="30" t="s">
        <v>325</v>
      </c>
      <c r="E55" s="4"/>
      <c r="F55" s="1" t="s">
        <v>326</v>
      </c>
    </row>
    <row r="56" spans="2:6" ht="51" x14ac:dyDescent="0.2">
      <c r="B56" s="6" t="s">
        <v>327</v>
      </c>
      <c r="C56" s="4"/>
      <c r="D56" s="30" t="s">
        <v>328</v>
      </c>
      <c r="E56" s="4"/>
      <c r="F56" s="1" t="s">
        <v>329</v>
      </c>
    </row>
    <row r="57" spans="2:6" ht="30" customHeight="1" x14ac:dyDescent="0.2">
      <c r="B57" s="6" t="s">
        <v>330</v>
      </c>
      <c r="C57" s="4" t="s">
        <v>331</v>
      </c>
      <c r="D57" s="38">
        <v>0</v>
      </c>
      <c r="E57" s="4" t="s">
        <v>332</v>
      </c>
      <c r="F57" s="1" t="s">
        <v>333</v>
      </c>
    </row>
    <row r="58" spans="2:6" ht="45" customHeight="1" x14ac:dyDescent="0.2">
      <c r="B58" s="6" t="s">
        <v>334</v>
      </c>
      <c r="C58" s="4"/>
      <c r="D58" s="30" t="s">
        <v>335</v>
      </c>
      <c r="E58" s="4"/>
      <c r="F58" s="1" t="s">
        <v>336</v>
      </c>
    </row>
    <row r="59" spans="2:6" ht="30" customHeight="1" x14ac:dyDescent="0.2">
      <c r="B59" s="6" t="s">
        <v>337</v>
      </c>
      <c r="C59" s="4"/>
      <c r="D59" s="33">
        <v>0.7</v>
      </c>
      <c r="E59" s="4" t="s">
        <v>263</v>
      </c>
      <c r="F59" s="1" t="s">
        <v>338</v>
      </c>
    </row>
    <row r="60" spans="2:6" ht="34" x14ac:dyDescent="0.2">
      <c r="B60" s="6" t="s">
        <v>339</v>
      </c>
      <c r="C60" s="4"/>
      <c r="D60" s="4" t="str">
        <f>IF(LEFT($D$23,2)="F1",IF($D$59&lt;Defaults!$C$45,"Below the 70% floor — residue not eligible","OK"),"n/a")</f>
        <v>n/a</v>
      </c>
      <c r="E60" s="4"/>
      <c r="F60" s="1" t="s">
        <v>340</v>
      </c>
    </row>
    <row r="61" spans="2:6" ht="68" x14ac:dyDescent="0.2">
      <c r="B61" s="6" t="s">
        <v>341</v>
      </c>
      <c r="C61" s="4"/>
      <c r="D61" s="30" t="s">
        <v>342</v>
      </c>
      <c r="E61" s="4"/>
      <c r="F61" s="1" t="s">
        <v>343</v>
      </c>
    </row>
    <row r="62" spans="2:6" ht="34" x14ac:dyDescent="0.2">
      <c r="B62" s="6" t="s">
        <v>344</v>
      </c>
      <c r="C62" s="4" t="s">
        <v>345</v>
      </c>
      <c r="D62" s="39">
        <v>0</v>
      </c>
      <c r="E62" s="4" t="s">
        <v>346</v>
      </c>
      <c r="F62" s="1" t="s">
        <v>347</v>
      </c>
    </row>
    <row r="63" spans="2:6" ht="34" x14ac:dyDescent="0.2">
      <c r="B63" s="6" t="s">
        <v>348</v>
      </c>
      <c r="C63" s="4" t="s">
        <v>349</v>
      </c>
      <c r="D63" s="40">
        <v>0</v>
      </c>
      <c r="E63" s="4" t="s">
        <v>350</v>
      </c>
      <c r="F63" s="1" t="s">
        <v>347</v>
      </c>
    </row>
    <row r="64" spans="2:6" ht="34" x14ac:dyDescent="0.2">
      <c r="B64" s="6" t="s">
        <v>351</v>
      </c>
      <c r="C64" s="4" t="s">
        <v>352</v>
      </c>
      <c r="D64" s="40">
        <v>0</v>
      </c>
      <c r="E64" s="4" t="s">
        <v>350</v>
      </c>
      <c r="F64" s="1" t="s">
        <v>347</v>
      </c>
    </row>
    <row r="65" spans="2:6" ht="17" x14ac:dyDescent="0.2">
      <c r="B65" s="6" t="s">
        <v>353</v>
      </c>
      <c r="C65" s="4" t="s">
        <v>345</v>
      </c>
      <c r="D65" s="41">
        <f>IF(LEFT($D$61,8)="Measured",$D$62,IF(RIGHT($D$61,6)="stover",Defaults!$C$34,IF(RIGHT($D$61,8)="residues",Defaults!$C$37,Defaults!$C$40)))</f>
        <v>8.0000000000000002E-3</v>
      </c>
      <c r="E65" s="4" t="s">
        <v>346</v>
      </c>
      <c r="F65" s="1" t="s">
        <v>154</v>
      </c>
    </row>
    <row r="66" spans="2:6" ht="17" x14ac:dyDescent="0.2">
      <c r="B66" s="6" t="s">
        <v>354</v>
      </c>
      <c r="C66" s="4" t="s">
        <v>349</v>
      </c>
      <c r="D66" s="42">
        <f>IF(LEFT($D$61,8)="Measured",$D$63,IF(RIGHT($D$61,6)="stover",Defaults!$C$35,IF(RIGHT($D$61,8)="residues",Defaults!$C$38,Defaults!$C$41)))</f>
        <v>3.0000000000000001E-3</v>
      </c>
      <c r="E66" s="4" t="s">
        <v>350</v>
      </c>
      <c r="F66" s="1" t="s">
        <v>154</v>
      </c>
    </row>
    <row r="67" spans="2:6" ht="17" x14ac:dyDescent="0.2">
      <c r="B67" s="6" t="s">
        <v>355</v>
      </c>
      <c r="C67" s="4" t="s">
        <v>352</v>
      </c>
      <c r="D67" s="42">
        <f>IF(LEFT($D$61,8)="Measured",$D$64,IF(RIGHT($D$61,6)="stover",Defaults!$C$36,IF(RIGHT($D$61,8)="residues",Defaults!$C$39,Defaults!$C$42)))</f>
        <v>1.4999999999999999E-2</v>
      </c>
      <c r="E67" s="4" t="s">
        <v>350</v>
      </c>
      <c r="F67" s="1" t="s">
        <v>154</v>
      </c>
    </row>
    <row r="68" spans="2:6" ht="30" customHeight="1" x14ac:dyDescent="0.2">
      <c r="B68" s="6" t="s">
        <v>356</v>
      </c>
      <c r="C68" s="4"/>
      <c r="D68" s="33">
        <v>0</v>
      </c>
      <c r="E68" s="4" t="s">
        <v>263</v>
      </c>
      <c r="F68" s="1" t="s">
        <v>357</v>
      </c>
    </row>
    <row r="69" spans="2:6" ht="45" customHeight="1" x14ac:dyDescent="0.2">
      <c r="B69" s="6" t="s">
        <v>358</v>
      </c>
      <c r="C69" s="4"/>
      <c r="D69" s="30" t="s">
        <v>359</v>
      </c>
      <c r="E69" s="4"/>
      <c r="F69" s="1" t="s">
        <v>360</v>
      </c>
    </row>
    <row r="70" spans="2:6" ht="17" x14ac:dyDescent="0.2">
      <c r="B70" s="6" t="s">
        <v>361</v>
      </c>
      <c r="C70" s="4" t="s">
        <v>362</v>
      </c>
      <c r="D70" s="38">
        <v>0.45</v>
      </c>
      <c r="E70" s="4" t="s">
        <v>363</v>
      </c>
      <c r="F70" s="1" t="s">
        <v>137</v>
      </c>
    </row>
    <row r="72" spans="2:6" ht="16" x14ac:dyDescent="0.2">
      <c r="B72" s="10" t="s">
        <v>364</v>
      </c>
      <c r="C72" s="11"/>
      <c r="D72" s="11"/>
      <c r="E72" s="11"/>
      <c r="F72" s="11"/>
    </row>
    <row r="73" spans="2:6" ht="16" x14ac:dyDescent="0.2">
      <c r="B73" s="12" t="s">
        <v>215</v>
      </c>
      <c r="C73" s="12" t="s">
        <v>216</v>
      </c>
      <c r="D73" s="12" t="s">
        <v>217</v>
      </c>
      <c r="E73" s="12" t="s">
        <v>218</v>
      </c>
      <c r="F73" s="12" t="s">
        <v>219</v>
      </c>
    </row>
    <row r="74" spans="2:6" ht="45" customHeight="1" x14ac:dyDescent="0.2">
      <c r="B74" s="6" t="s">
        <v>365</v>
      </c>
      <c r="C74" s="4"/>
      <c r="D74" s="30" t="s">
        <v>572</v>
      </c>
      <c r="E74" s="4"/>
      <c r="F74" s="1" t="s">
        <v>367</v>
      </c>
    </row>
    <row r="75" spans="2:6" ht="30" customHeight="1" x14ac:dyDescent="0.2">
      <c r="B75" s="6" t="s">
        <v>368</v>
      </c>
      <c r="C75" s="4" t="s">
        <v>369</v>
      </c>
      <c r="D75" s="32">
        <v>0.06</v>
      </c>
      <c r="E75" s="4" t="s">
        <v>263</v>
      </c>
      <c r="F75" s="1" t="s">
        <v>370</v>
      </c>
    </row>
    <row r="76" spans="2:6" ht="17" x14ac:dyDescent="0.2">
      <c r="B76" s="6" t="s">
        <v>371</v>
      </c>
      <c r="C76" s="4" t="s">
        <v>369</v>
      </c>
      <c r="D76" s="20">
        <f>IF($D$74="Measured",$D$75,Defaults!$C$23)</f>
        <v>0.06</v>
      </c>
      <c r="E76" s="4" t="s">
        <v>263</v>
      </c>
      <c r="F76" s="1" t="s">
        <v>124</v>
      </c>
    </row>
    <row r="77" spans="2:6" ht="17" x14ac:dyDescent="0.2">
      <c r="B77" s="6" t="s">
        <v>372</v>
      </c>
      <c r="C77" s="4"/>
      <c r="D77" s="30" t="s">
        <v>573</v>
      </c>
      <c r="E77" s="4"/>
      <c r="F77" s="1" t="s">
        <v>374</v>
      </c>
    </row>
    <row r="78" spans="2:6" ht="30" customHeight="1" x14ac:dyDescent="0.2">
      <c r="B78" s="6" t="s">
        <v>375</v>
      </c>
      <c r="C78" s="4" t="s">
        <v>376</v>
      </c>
      <c r="D78" s="39">
        <v>0.8</v>
      </c>
      <c r="E78" s="4" t="s">
        <v>363</v>
      </c>
      <c r="F78" s="1" t="s">
        <v>377</v>
      </c>
    </row>
    <row r="79" spans="2:6" ht="34" x14ac:dyDescent="0.2">
      <c r="B79" s="6" t="s">
        <v>378</v>
      </c>
      <c r="C79" s="4" t="s">
        <v>376</v>
      </c>
      <c r="D79" s="37">
        <f>INDEX(Defaults!$C$52:$C$57,MATCH($D$50,Defaults!$B$52:$B$57,0))</f>
        <v>0.55000000000000004</v>
      </c>
      <c r="E79" s="4" t="s">
        <v>363</v>
      </c>
      <c r="F79" s="1" t="s">
        <v>379</v>
      </c>
    </row>
    <row r="80" spans="2:6" ht="17" x14ac:dyDescent="0.2">
      <c r="B80" s="6" t="s">
        <v>181</v>
      </c>
      <c r="C80" s="4" t="s">
        <v>376</v>
      </c>
      <c r="D80" s="16">
        <f>IF($D$77="Default (Table 21)",$D$79,$D$78)</f>
        <v>0.8</v>
      </c>
      <c r="E80" s="4" t="s">
        <v>363</v>
      </c>
      <c r="F80" s="1" t="s">
        <v>374</v>
      </c>
    </row>
    <row r="81" spans="2:6" ht="30" customHeight="1" x14ac:dyDescent="0.2">
      <c r="B81" s="6" t="s">
        <v>380</v>
      </c>
      <c r="C81" s="4" t="s">
        <v>381</v>
      </c>
      <c r="D81" s="38">
        <v>0.3</v>
      </c>
      <c r="E81" s="4" t="s">
        <v>382</v>
      </c>
      <c r="F81" s="1" t="s">
        <v>383</v>
      </c>
    </row>
    <row r="82" spans="2:6" ht="17" x14ac:dyDescent="0.2">
      <c r="B82" s="6" t="s">
        <v>384</v>
      </c>
      <c r="C82" s="4" t="s">
        <v>381</v>
      </c>
      <c r="D82" s="17">
        <f>IF(ISNUMBER($D$81),$D$81,Defaults!$C$17)</f>
        <v>0.3</v>
      </c>
      <c r="E82" s="4" t="s">
        <v>382</v>
      </c>
      <c r="F82" s="1" t="s">
        <v>130</v>
      </c>
    </row>
    <row r="83" spans="2:6" ht="17" x14ac:dyDescent="0.2">
      <c r="B83" s="6" t="s">
        <v>385</v>
      </c>
      <c r="C83" s="4"/>
      <c r="D83" s="4" t="str">
        <f>IF(LEFT($D$84,8)="Method 3","Not applicable (Method 3)",IF($D$82&gt;Defaults!$C$18,"Not creditable under Method 1 (H:Corg above 0.50)",IF(AND($D$21="Track 1",$D$82&gt;Defaults!$C$17),"Track 1 default-route limit 0.40 exceeded — test the batch","Eligible")))</f>
        <v>Not applicable (Method 3)</v>
      </c>
      <c r="E83" s="4"/>
      <c r="F83" s="1" t="s">
        <v>240</v>
      </c>
    </row>
    <row r="84" spans="2:6" ht="17" x14ac:dyDescent="0.2">
      <c r="B84" s="6" t="s">
        <v>386</v>
      </c>
      <c r="C84" s="4"/>
      <c r="D84" s="30" t="s">
        <v>601</v>
      </c>
      <c r="E84" s="4"/>
      <c r="F84" s="1" t="s">
        <v>130</v>
      </c>
    </row>
    <row r="85" spans="2:6" ht="17" x14ac:dyDescent="0.2">
      <c r="B85" s="6" t="s">
        <v>388</v>
      </c>
      <c r="C85" s="4"/>
      <c r="D85" s="17">
        <f>ROUND(MIN(0.5,MAX(0.2,CEILING($D$82,0.05))),2)</f>
        <v>0.3</v>
      </c>
      <c r="E85" s="4" t="s">
        <v>382</v>
      </c>
      <c r="F85" s="1" t="s">
        <v>389</v>
      </c>
    </row>
    <row r="86" spans="2:6" ht="30" customHeight="1" x14ac:dyDescent="0.2">
      <c r="B86" s="6" t="s">
        <v>390</v>
      </c>
      <c r="C86" s="4" t="s">
        <v>391</v>
      </c>
      <c r="D86" s="41">
        <f>INDEX(Defaults!$C$121:$I$154,MATCH($D$27,Defaults!$B$121:$B$154,0),MATCH($D$85,Defaults!$C$120:$I$120,0))</f>
        <v>0.80400000000000005</v>
      </c>
      <c r="E86" s="4" t="s">
        <v>263</v>
      </c>
      <c r="F86" s="1" t="s">
        <v>392</v>
      </c>
    </row>
    <row r="87" spans="2:6" ht="30" customHeight="1" x14ac:dyDescent="0.2">
      <c r="B87" s="6" t="s">
        <v>393</v>
      </c>
      <c r="C87" s="4" t="s">
        <v>391</v>
      </c>
      <c r="D87" s="39">
        <v>0</v>
      </c>
      <c r="E87" s="4" t="s">
        <v>263</v>
      </c>
      <c r="F87" s="1" t="s">
        <v>394</v>
      </c>
    </row>
    <row r="88" spans="2:6" ht="17" x14ac:dyDescent="0.2">
      <c r="B88" s="35" t="s">
        <v>184</v>
      </c>
      <c r="C88" s="2" t="s">
        <v>391</v>
      </c>
      <c r="D88" s="43">
        <f>IF(LEFT($D$84,8)="Method 3",Defaults!$C$12,IF(LEFT($D$84,8)="Method 2",MIN(Defaults!$C$13,$D$87),IF($D$82&gt;Defaults!$C$18,0,$D$86)))</f>
        <v>0.95</v>
      </c>
      <c r="E88" s="2" t="s">
        <v>263</v>
      </c>
      <c r="F88" s="36" t="s">
        <v>130</v>
      </c>
    </row>
    <row r="89" spans="2:6" ht="51" x14ac:dyDescent="0.2">
      <c r="B89" s="6" t="s">
        <v>395</v>
      </c>
      <c r="C89" s="4"/>
      <c r="D89" s="30" t="s">
        <v>602</v>
      </c>
      <c r="E89" s="4"/>
      <c r="F89" s="1" t="s">
        <v>397</v>
      </c>
    </row>
    <row r="90" spans="2:6" ht="30" customHeight="1" x14ac:dyDescent="0.2">
      <c r="B90" s="6" t="s">
        <v>398</v>
      </c>
      <c r="C90" s="4"/>
      <c r="D90" s="30" t="s">
        <v>325</v>
      </c>
      <c r="E90" s="4"/>
      <c r="F90" s="1" t="s">
        <v>399</v>
      </c>
    </row>
    <row r="91" spans="2:6" ht="51" x14ac:dyDescent="0.2">
      <c r="B91" s="6" t="s">
        <v>185</v>
      </c>
      <c r="C91" s="4" t="s">
        <v>400</v>
      </c>
      <c r="D91" s="19">
        <f>IF($D$90="Yes",0,INDEX(Defaults!$C$67:$C$70,MATCH($D$89,Defaults!$B$67:$B$70,0)))</f>
        <v>0</v>
      </c>
      <c r="E91" s="4" t="s">
        <v>263</v>
      </c>
      <c r="F91" s="1" t="s">
        <v>397</v>
      </c>
    </row>
    <row r="92" spans="2:6" ht="17" x14ac:dyDescent="0.2">
      <c r="B92" s="6" t="s">
        <v>401</v>
      </c>
      <c r="C92" s="4"/>
      <c r="D92" s="44">
        <v>5</v>
      </c>
      <c r="E92" s="4" t="s">
        <v>402</v>
      </c>
      <c r="F92" s="1" t="s">
        <v>403</v>
      </c>
    </row>
    <row r="93" spans="2:6" ht="17" x14ac:dyDescent="0.2">
      <c r="B93" s="6" t="s">
        <v>404</v>
      </c>
      <c r="C93" s="4"/>
      <c r="D93" s="4" t="str">
        <f>IF(LEFT($D$22,2)="A1",IF($D$92&gt;Defaults!$C$48,"Above the 50 t/ha cap","OK"),"n/a")</f>
        <v>n/a</v>
      </c>
      <c r="E93" s="4"/>
      <c r="F93" s="1" t="s">
        <v>403</v>
      </c>
    </row>
    <row r="95" spans="2:6" ht="16" x14ac:dyDescent="0.2">
      <c r="B95" s="10" t="s">
        <v>405</v>
      </c>
      <c r="C95" s="11"/>
      <c r="D95" s="11"/>
      <c r="E95" s="11"/>
      <c r="F95" s="11"/>
    </row>
    <row r="96" spans="2:6" ht="16" x14ac:dyDescent="0.2">
      <c r="B96" s="12" t="s">
        <v>215</v>
      </c>
      <c r="C96" s="12" t="s">
        <v>216</v>
      </c>
      <c r="D96" s="12" t="s">
        <v>217</v>
      </c>
      <c r="E96" s="12" t="s">
        <v>218</v>
      </c>
      <c r="F96" s="12" t="s">
        <v>219</v>
      </c>
    </row>
    <row r="97" spans="2:19" ht="17" x14ac:dyDescent="0.2">
      <c r="B97" s="6" t="s">
        <v>406</v>
      </c>
      <c r="C97" s="4"/>
      <c r="D97" s="30" t="s">
        <v>583</v>
      </c>
      <c r="E97" s="4"/>
      <c r="F97" s="1" t="s">
        <v>142</v>
      </c>
    </row>
    <row r="98" spans="2:19" ht="34" x14ac:dyDescent="0.2">
      <c r="B98" s="6" t="s">
        <v>408</v>
      </c>
      <c r="C98" s="4" t="s">
        <v>409</v>
      </c>
      <c r="D98" s="42">
        <f>INDEX(Defaults!$C$61:$C$63,MATCH($D$54,Defaults!$B$61:$B$63,0))</f>
        <v>5.4999999999999997E-3</v>
      </c>
      <c r="E98" s="4" t="s">
        <v>410</v>
      </c>
      <c r="F98" s="1" t="s">
        <v>411</v>
      </c>
    </row>
    <row r="99" spans="2:19" ht="30" customHeight="1" x14ac:dyDescent="0.2">
      <c r="B99" s="6" t="s">
        <v>412</v>
      </c>
      <c r="C99" s="4" t="s">
        <v>409</v>
      </c>
      <c r="D99" s="40">
        <v>0</v>
      </c>
      <c r="E99" s="4" t="s">
        <v>410</v>
      </c>
      <c r="F99" s="1" t="s">
        <v>413</v>
      </c>
    </row>
    <row r="100" spans="2:19" ht="30" customHeight="1" x14ac:dyDescent="0.2">
      <c r="B100" s="6" t="s">
        <v>414</v>
      </c>
      <c r="C100" s="4" t="s">
        <v>409</v>
      </c>
      <c r="D100" s="45">
        <f>MAX($D$99,IF($D$98&gt;0,$D$98,Defaults!$C$26))</f>
        <v>5.4999999999999997E-3</v>
      </c>
      <c r="E100" s="4" t="s">
        <v>410</v>
      </c>
      <c r="F100" s="1" t="s">
        <v>413</v>
      </c>
    </row>
    <row r="101" spans="2:19" ht="30" customHeight="1" x14ac:dyDescent="0.2">
      <c r="B101" s="6" t="s">
        <v>415</v>
      </c>
      <c r="C101" s="4" t="s">
        <v>416</v>
      </c>
      <c r="D101" s="46">
        <v>2.6800000000000001E-3</v>
      </c>
      <c r="E101" s="4" t="s">
        <v>417</v>
      </c>
      <c r="F101" s="1" t="s">
        <v>418</v>
      </c>
    </row>
    <row r="102" spans="2:19" ht="30" customHeight="1" x14ac:dyDescent="0.2">
      <c r="B102" s="6" t="s">
        <v>419</v>
      </c>
      <c r="C102" s="4" t="s">
        <v>420</v>
      </c>
      <c r="D102" s="39">
        <v>0.45</v>
      </c>
      <c r="E102" s="4" t="s">
        <v>421</v>
      </c>
      <c r="F102" s="1" t="s">
        <v>422</v>
      </c>
    </row>
    <row r="103" spans="2:19" ht="45" customHeight="1" x14ac:dyDescent="0.2">
      <c r="B103" s="6" t="s">
        <v>423</v>
      </c>
      <c r="C103" s="4" t="s">
        <v>424</v>
      </c>
      <c r="D103" s="46">
        <v>1.2E-4</v>
      </c>
      <c r="E103" s="4" t="s">
        <v>425</v>
      </c>
      <c r="F103" s="1" t="s">
        <v>426</v>
      </c>
    </row>
    <row r="104" spans="2:19" ht="45" customHeight="1" x14ac:dyDescent="0.2">
      <c r="B104" s="6" t="s">
        <v>427</v>
      </c>
      <c r="C104" s="4"/>
      <c r="D104" s="30" t="s">
        <v>428</v>
      </c>
      <c r="E104" s="4"/>
      <c r="F104" s="1" t="s">
        <v>429</v>
      </c>
    </row>
    <row r="106" spans="2:19" ht="16" x14ac:dyDescent="0.2">
      <c r="B106" s="10" t="s">
        <v>430</v>
      </c>
      <c r="C106" s="11"/>
      <c r="D106" s="11"/>
      <c r="E106" s="11"/>
      <c r="F106" s="11"/>
    </row>
    <row r="107" spans="2:19" ht="16" x14ac:dyDescent="0.2">
      <c r="B107" s="12" t="s">
        <v>215</v>
      </c>
      <c r="C107" s="12" t="s">
        <v>216</v>
      </c>
      <c r="D107" s="12" t="s">
        <v>217</v>
      </c>
      <c r="E107" s="12" t="s">
        <v>218</v>
      </c>
      <c r="F107" s="12" t="s">
        <v>219</v>
      </c>
    </row>
    <row r="108" spans="2:19" ht="45" customHeight="1" x14ac:dyDescent="0.2">
      <c r="B108" s="6" t="s">
        <v>431</v>
      </c>
      <c r="C108" s="4" t="s">
        <v>432</v>
      </c>
      <c r="D108" s="47">
        <v>0</v>
      </c>
      <c r="E108" s="4" t="s">
        <v>433</v>
      </c>
      <c r="F108" s="1" t="s">
        <v>434</v>
      </c>
    </row>
    <row r="109" spans="2:19" ht="34" x14ac:dyDescent="0.2">
      <c r="B109" s="6" t="s">
        <v>435</v>
      </c>
      <c r="C109" s="4"/>
      <c r="D109" s="4" t="str">
        <f>IF($D$21="Track 3","Option B (inventory)",IF($D$108&gt;0,"Option B (inventory)","Option A (default per tonne)"))</f>
        <v>Option A (default per tonne)</v>
      </c>
      <c r="E109" s="4"/>
      <c r="F109" s="1" t="s">
        <v>436</v>
      </c>
    </row>
    <row r="110" spans="2:19" ht="30" customHeight="1" x14ac:dyDescent="0.2">
      <c r="B110" s="6" t="s">
        <v>437</v>
      </c>
      <c r="C110" s="4"/>
      <c r="D110" s="4" t="str">
        <f>IF((IF(AND($D$21="Track 1",LEFT($D$22,2)&lt;&gt;"A1"),"Modules A2 and A3 are not available under Track 1 (Annex 3, Table 19). ","")&amp;IF(AND($D$21&lt;&gt;"Track 3",OR(LEFT($D$23,2)="F5",LEFT($D$23,2)="F6")),"Modules F5 and F6 are restricted to Track 3 (Annex 1). ","")&amp;IF(AND($D$21&lt;&gt;"Track 1",LEFT($D$84,8)="Method 1",NOT(ISNUMBER($D$26))),"Tracks 2 and 3 enter the gridded-dataset soil temperature (Section 8.5). ","")&amp;IF(AND($D$21="Track 3",$D$77="Default (Table 21)"),"Track 3 measures organic carbon (Section 8.4). ","")&amp;IF(AND($D$21&lt;&gt;"Track 1",LEFT($D$74,7)="Default"),"The biochar moisture default is restricted to Track 1 (PARC 8). ","")&amp;IF(AND($D$21&lt;&gt;"Track 1",LEFT($D$51,5)="Yield"),"The yield default is restricted to Track 1 (PARC 3). ","")&amp;IF(AND(LEFT($D$23,2)="F1",LEFT($D$51,5)="Yield"),"Module F1 residue is weighed at collection (Section 8.3). ","")&amp;IF(AND($D$21="Track 3",LEFT($D$104,5)="Small"),"The small-hub default is available to Tracks 1 and 2 only (Section 9.3). ","")&amp;IF(AND($D$21&lt;&gt;"Track 1",LEFT($D$97,6)="Option"),"Methane Options A and B are Track 1 routes (Section 9.4). ","")&amp;IF(AND($D$21="Track 3",LEFT($D$97,7)="Track 2"),"Track 3 measures methane continuously (Section 9.4). ","")&amp;IF(AND(LEFT($D$97,8)="Option A",LEFT($D$54,5)="Moist"),"Feedstock above 24% moisture is not creditable; dry before charging (Section 9.4). ","")&amp;IF(AND(LEFT($D$22,2)="A1",LEFT($D$84,8)="Method 3"),"Method 3 applies to Modules A2 and A3 only (Section 8.5). ","")&amp;IF(AND(LEFT($D$22,2)&lt;&gt;"A1",LEFT($D$84,8)&lt;&gt;"Method 3"),"Modules A2 and A3 apply Method 3 (Section 8.5). ","")&amp;IF(AND($D$21="Track 1",LEFT($D$84,8)="Method 2"),"Method 2 is available to Tracks 2 and 3 only (Section 8.5). ",""))="","OK",TRIM(IF(AND($D$21="Track 1",LEFT($D$22,2)&lt;&gt;"A1"),"Modules A2 and A3 are not available under Track 1 (Annex 3, Table 19). ","")&amp;IF(AND($D$21&lt;&gt;"Track 3",OR(LEFT($D$23,2)="F5",LEFT($D$23,2)="F6")),"Modules F5 and F6 are restricted to Track 3 (Annex 1). ","")&amp;IF(AND($D$21&lt;&gt;"Track 1",LEFT($D$84,8)="Method 1",NOT(ISNUMBER($D$26))),"Tracks 2 and 3 enter the gridded-dataset soil temperature (Section 8.5). ","")&amp;IF(AND($D$21="Track 3",$D$77="Default (Table 21)"),"Track 3 measures organic carbon (Section 8.4). ","")&amp;IF(AND($D$21&lt;&gt;"Track 1",LEFT($D$74,7)="Default"),"The biochar moisture default is restricted to Track 1 (PARC 8). ","")&amp;IF(AND($D$21&lt;&gt;"Track 1",LEFT($D$51,5)="Yield"),"The yield default is restricted to Track 1 (PARC 3). ","")&amp;IF(AND(LEFT($D$23,2)="F1",LEFT($D$51,5)="Yield"),"Module F1 residue is weighed at collection (Section 8.3). ","")&amp;IF(AND($D$21="Track 3",LEFT($D$104,5)="Small"),"The small-hub default is available to Tracks 1 and 2 only (Section 9.3). ","")&amp;IF(AND($D$21&lt;&gt;"Track 1",LEFT($D$97,6)="Option"),"Methane Options A and B are Track 1 routes (Section 9.4). ","")&amp;IF(AND($D$21="Track 3",LEFT($D$97,7)="Track 2"),"Track 3 measures methane continuously (Section 9.4). ","")&amp;IF(AND(LEFT($D$97,8)="Option A",LEFT($D$54,5)="Moist"),"Feedstock above 24% moisture is not creditable; dry before charging (Section 9.4). ","")&amp;IF(AND(LEFT($D$22,2)="A1",LEFT($D$84,8)="Method 3"),"Method 3 applies to Modules A2 and A3 only (Section 8.5). ","")&amp;IF(AND(LEFT($D$22,2)&lt;&gt;"A1",LEFT($D$84,8)&lt;&gt;"Method 3"),"Modules A2 and A3 apply Method 3 (Section 8.5). ","")&amp;IF(AND($D$21="Track 1",LEFT($D$84,8)="Method 2"),"Method 2 is available to Tracks 2 and 3 only (Section 8.5). ","")))</f>
        <v>OK</v>
      </c>
      <c r="E110" s="4"/>
      <c r="F110" s="1" t="s">
        <v>438</v>
      </c>
    </row>
    <row r="112" spans="2:19" ht="16" x14ac:dyDescent="0.2">
      <c r="B112" s="10" t="s">
        <v>439</v>
      </c>
      <c r="C112" s="11"/>
      <c r="D112" s="11"/>
      <c r="E112" s="11"/>
      <c r="F112" s="11"/>
      <c r="G112" s="11"/>
      <c r="H112" s="11"/>
      <c r="I112" s="11"/>
      <c r="J112" s="11"/>
      <c r="K112" s="11"/>
      <c r="L112" s="11"/>
      <c r="M112" s="11"/>
      <c r="N112" s="11"/>
      <c r="R112" s="11"/>
      <c r="S112" s="11"/>
    </row>
    <row r="113" spans="2:19" ht="16" x14ac:dyDescent="0.2">
      <c r="B113" s="12" t="s">
        <v>440</v>
      </c>
      <c r="C113" s="12" t="s">
        <v>216</v>
      </c>
      <c r="D113" s="48" t="s">
        <v>441</v>
      </c>
      <c r="E113" s="48" t="s">
        <v>442</v>
      </c>
      <c r="F113" s="48" t="s">
        <v>443</v>
      </c>
      <c r="G113" s="48" t="s">
        <v>444</v>
      </c>
      <c r="H113" s="48" t="s">
        <v>445</v>
      </c>
      <c r="I113" s="48" t="s">
        <v>446</v>
      </c>
      <c r="J113" s="48" t="s">
        <v>447</v>
      </c>
      <c r="K113" s="48" t="s">
        <v>448</v>
      </c>
      <c r="L113" s="48" t="s">
        <v>449</v>
      </c>
      <c r="M113" s="48" t="s">
        <v>450</v>
      </c>
      <c r="N113" s="48" t="s">
        <v>451</v>
      </c>
      <c r="R113" s="12" t="s">
        <v>218</v>
      </c>
      <c r="S113" s="12" t="s">
        <v>452</v>
      </c>
    </row>
    <row r="114" spans="2:19" ht="16" x14ac:dyDescent="0.2">
      <c r="B114" s="49" t="s">
        <v>453</v>
      </c>
    </row>
    <row r="115" spans="2:19" ht="17" x14ac:dyDescent="0.2">
      <c r="B115" s="6" t="s">
        <v>454</v>
      </c>
      <c r="C115" s="4"/>
      <c r="D115" s="50">
        <v>1</v>
      </c>
      <c r="E115" s="50">
        <v>1</v>
      </c>
      <c r="F115" s="50">
        <v>1</v>
      </c>
      <c r="G115" s="50">
        <v>1</v>
      </c>
      <c r="H115" s="50">
        <v>1</v>
      </c>
      <c r="I115" s="50">
        <v>1</v>
      </c>
      <c r="J115" s="50">
        <v>1</v>
      </c>
      <c r="K115" s="50">
        <v>1</v>
      </c>
      <c r="L115" s="50">
        <v>1</v>
      </c>
      <c r="M115" s="50">
        <v>1</v>
      </c>
      <c r="N115" s="51">
        <f>SUM(D115:M115)</f>
        <v>10</v>
      </c>
      <c r="R115" s="4"/>
      <c r="S115" s="9"/>
    </row>
    <row r="116" spans="2:19" ht="17" x14ac:dyDescent="0.2">
      <c r="B116" s="6" t="s">
        <v>455</v>
      </c>
      <c r="C116" s="4" t="s">
        <v>456</v>
      </c>
      <c r="D116" s="47">
        <v>1170</v>
      </c>
      <c r="E116" s="47">
        <v>1170</v>
      </c>
      <c r="F116" s="47">
        <v>1170</v>
      </c>
      <c r="G116" s="47">
        <v>1170</v>
      </c>
      <c r="H116" s="47">
        <v>1170</v>
      </c>
      <c r="I116" s="47">
        <v>1170</v>
      </c>
      <c r="J116" s="47">
        <v>1170</v>
      </c>
      <c r="K116" s="47">
        <v>1170</v>
      </c>
      <c r="L116" s="47">
        <v>1170</v>
      </c>
      <c r="M116" s="47">
        <v>1170</v>
      </c>
      <c r="N116" s="52">
        <f>SUM(D116:M116)</f>
        <v>11700</v>
      </c>
      <c r="R116" s="4" t="s">
        <v>457</v>
      </c>
      <c r="S116" s="9" t="s">
        <v>458</v>
      </c>
    </row>
    <row r="117" spans="2:19" ht="17" x14ac:dyDescent="0.2">
      <c r="B117" s="6" t="s">
        <v>459</v>
      </c>
      <c r="C117" s="4" t="s">
        <v>460</v>
      </c>
      <c r="D117" s="47">
        <v>4200</v>
      </c>
      <c r="E117" s="47">
        <v>4200</v>
      </c>
      <c r="F117" s="47">
        <v>4200</v>
      </c>
      <c r="G117" s="47">
        <v>4200</v>
      </c>
      <c r="H117" s="47">
        <v>4200</v>
      </c>
      <c r="I117" s="47">
        <v>4200</v>
      </c>
      <c r="J117" s="47">
        <v>4200</v>
      </c>
      <c r="K117" s="47">
        <v>4200</v>
      </c>
      <c r="L117" s="47">
        <v>4200</v>
      </c>
      <c r="M117" s="47">
        <v>4200</v>
      </c>
      <c r="N117" s="52">
        <f>SUM(D117:M117)</f>
        <v>42000</v>
      </c>
      <c r="R117" s="4" t="s">
        <v>226</v>
      </c>
      <c r="S117" s="9" t="s">
        <v>458</v>
      </c>
    </row>
    <row r="118" spans="2:19" ht="30" customHeight="1" x14ac:dyDescent="0.2">
      <c r="B118" s="6" t="s">
        <v>461</v>
      </c>
      <c r="C118" s="4" t="s">
        <v>462</v>
      </c>
      <c r="D118" s="44">
        <v>0</v>
      </c>
      <c r="E118" s="44">
        <v>0</v>
      </c>
      <c r="F118" s="44">
        <v>0</v>
      </c>
      <c r="G118" s="44">
        <v>0</v>
      </c>
      <c r="H118" s="44">
        <v>0</v>
      </c>
      <c r="I118" s="44">
        <v>0</v>
      </c>
      <c r="J118" s="44">
        <v>0</v>
      </c>
      <c r="K118" s="44">
        <v>0</v>
      </c>
      <c r="L118" s="44">
        <v>0</v>
      </c>
      <c r="M118" s="44">
        <v>0</v>
      </c>
      <c r="R118" s="4" t="s">
        <v>463</v>
      </c>
      <c r="S118" s="9" t="s">
        <v>464</v>
      </c>
    </row>
    <row r="119" spans="2:19" ht="17" x14ac:dyDescent="0.2">
      <c r="B119" s="6" t="s">
        <v>465</v>
      </c>
      <c r="C119" s="4" t="s">
        <v>466</v>
      </c>
      <c r="D119" s="47">
        <v>0</v>
      </c>
      <c r="E119" s="47">
        <v>0</v>
      </c>
      <c r="F119" s="47">
        <v>0</v>
      </c>
      <c r="G119" s="47">
        <v>0</v>
      </c>
      <c r="H119" s="47">
        <v>0</v>
      </c>
      <c r="I119" s="47">
        <v>0</v>
      </c>
      <c r="J119" s="47">
        <v>0</v>
      </c>
      <c r="K119" s="47">
        <v>0</v>
      </c>
      <c r="L119" s="47">
        <v>0</v>
      </c>
      <c r="M119" s="47">
        <v>0</v>
      </c>
      <c r="N119" s="52">
        <f t="shared" ref="N119:N130" si="0">SUM(D119:M119)</f>
        <v>0</v>
      </c>
      <c r="R119" s="4" t="s">
        <v>221</v>
      </c>
      <c r="S119" s="9" t="s">
        <v>137</v>
      </c>
    </row>
    <row r="120" spans="2:19" ht="30" customHeight="1" x14ac:dyDescent="0.2">
      <c r="B120" s="6" t="s">
        <v>467</v>
      </c>
      <c r="C120" s="4" t="s">
        <v>468</v>
      </c>
      <c r="D120" s="53">
        <v>12</v>
      </c>
      <c r="E120" s="53">
        <v>12</v>
      </c>
      <c r="F120" s="53">
        <v>12</v>
      </c>
      <c r="G120" s="53">
        <v>12</v>
      </c>
      <c r="H120" s="53">
        <v>12</v>
      </c>
      <c r="I120" s="53">
        <v>12</v>
      </c>
      <c r="J120" s="53">
        <v>12</v>
      </c>
      <c r="K120" s="53">
        <v>12</v>
      </c>
      <c r="L120" s="53">
        <v>12</v>
      </c>
      <c r="M120" s="53">
        <v>12</v>
      </c>
      <c r="N120" s="54">
        <f t="shared" si="0"/>
        <v>120</v>
      </c>
      <c r="R120" s="4" t="s">
        <v>226</v>
      </c>
      <c r="S120" s="9" t="s">
        <v>469</v>
      </c>
    </row>
    <row r="121" spans="2:19" ht="17" x14ac:dyDescent="0.2">
      <c r="B121" s="6" t="s">
        <v>470</v>
      </c>
      <c r="C121" s="4" t="s">
        <v>471</v>
      </c>
      <c r="D121" s="38">
        <v>0</v>
      </c>
      <c r="E121" s="38">
        <v>0</v>
      </c>
      <c r="F121" s="38">
        <v>0</v>
      </c>
      <c r="G121" s="38">
        <v>0</v>
      </c>
      <c r="H121" s="38">
        <v>0</v>
      </c>
      <c r="I121" s="38">
        <v>0</v>
      </c>
      <c r="J121" s="38">
        <v>0</v>
      </c>
      <c r="K121" s="38">
        <v>0</v>
      </c>
      <c r="L121" s="38">
        <v>0</v>
      </c>
      <c r="M121" s="38">
        <v>0</v>
      </c>
      <c r="N121" s="55">
        <f t="shared" si="0"/>
        <v>0</v>
      </c>
      <c r="R121" s="4" t="s">
        <v>472</v>
      </c>
      <c r="S121" s="9" t="s">
        <v>473</v>
      </c>
    </row>
    <row r="122" spans="2:19" ht="17" x14ac:dyDescent="0.2">
      <c r="B122" s="6" t="s">
        <v>474</v>
      </c>
      <c r="C122" s="4" t="s">
        <v>475</v>
      </c>
      <c r="D122" s="47">
        <v>0</v>
      </c>
      <c r="E122" s="47">
        <v>0</v>
      </c>
      <c r="F122" s="47">
        <v>0</v>
      </c>
      <c r="G122" s="47">
        <v>0</v>
      </c>
      <c r="H122" s="47">
        <v>0</v>
      </c>
      <c r="I122" s="47">
        <v>0</v>
      </c>
      <c r="J122" s="47">
        <v>0</v>
      </c>
      <c r="K122" s="47">
        <v>0</v>
      </c>
      <c r="L122" s="47">
        <v>0</v>
      </c>
      <c r="M122" s="47">
        <v>0</v>
      </c>
      <c r="N122" s="52">
        <f t="shared" si="0"/>
        <v>0</v>
      </c>
      <c r="R122" s="4" t="s">
        <v>476</v>
      </c>
      <c r="S122" s="9" t="s">
        <v>477</v>
      </c>
    </row>
    <row r="123" spans="2:19" ht="17" x14ac:dyDescent="0.2">
      <c r="B123" s="6" t="s">
        <v>478</v>
      </c>
      <c r="C123" s="4" t="s">
        <v>479</v>
      </c>
      <c r="D123" s="53">
        <v>45</v>
      </c>
      <c r="E123" s="53">
        <v>45</v>
      </c>
      <c r="F123" s="53">
        <v>45</v>
      </c>
      <c r="G123" s="53">
        <v>45</v>
      </c>
      <c r="H123" s="53">
        <v>45</v>
      </c>
      <c r="I123" s="53">
        <v>45</v>
      </c>
      <c r="J123" s="53">
        <v>45</v>
      </c>
      <c r="K123" s="53">
        <v>45</v>
      </c>
      <c r="L123" s="53">
        <v>45</v>
      </c>
      <c r="M123" s="53">
        <v>45</v>
      </c>
      <c r="N123" s="54">
        <f t="shared" si="0"/>
        <v>450</v>
      </c>
      <c r="R123" s="4" t="s">
        <v>480</v>
      </c>
      <c r="S123" s="9" t="s">
        <v>477</v>
      </c>
    </row>
    <row r="124" spans="2:19" ht="17" x14ac:dyDescent="0.2">
      <c r="B124" s="6" t="s">
        <v>481</v>
      </c>
      <c r="C124" s="4" t="s">
        <v>482</v>
      </c>
      <c r="D124" s="47">
        <v>0</v>
      </c>
      <c r="E124" s="47">
        <v>0</v>
      </c>
      <c r="F124" s="47">
        <v>0</v>
      </c>
      <c r="G124" s="47">
        <v>0</v>
      </c>
      <c r="H124" s="47">
        <v>0</v>
      </c>
      <c r="I124" s="47">
        <v>0</v>
      </c>
      <c r="J124" s="47">
        <v>0</v>
      </c>
      <c r="K124" s="47">
        <v>0</v>
      </c>
      <c r="L124" s="47">
        <v>0</v>
      </c>
      <c r="M124" s="47">
        <v>0</v>
      </c>
      <c r="N124" s="52">
        <f t="shared" si="0"/>
        <v>0</v>
      </c>
      <c r="R124" s="4" t="s">
        <v>221</v>
      </c>
      <c r="S124" s="9" t="s">
        <v>483</v>
      </c>
    </row>
    <row r="125" spans="2:19" ht="17" x14ac:dyDescent="0.2">
      <c r="B125" s="6" t="s">
        <v>484</v>
      </c>
      <c r="C125" s="4" t="s">
        <v>485</v>
      </c>
      <c r="D125" s="47">
        <v>2500</v>
      </c>
      <c r="E125" s="47">
        <v>2500</v>
      </c>
      <c r="F125" s="47">
        <v>2500</v>
      </c>
      <c r="G125" s="47">
        <v>2500</v>
      </c>
      <c r="H125" s="47">
        <v>2500</v>
      </c>
      <c r="I125" s="47">
        <v>2500</v>
      </c>
      <c r="J125" s="47">
        <v>2500</v>
      </c>
      <c r="K125" s="47">
        <v>2500</v>
      </c>
      <c r="L125" s="47">
        <v>2500</v>
      </c>
      <c r="M125" s="47">
        <v>2500</v>
      </c>
      <c r="N125" s="52">
        <f t="shared" si="0"/>
        <v>25000</v>
      </c>
      <c r="R125" s="4" t="s">
        <v>476</v>
      </c>
      <c r="S125" s="9" t="s">
        <v>486</v>
      </c>
    </row>
    <row r="126" spans="2:19" ht="17" x14ac:dyDescent="0.2">
      <c r="B126" s="6" t="s">
        <v>487</v>
      </c>
      <c r="C126" s="4" t="s">
        <v>488</v>
      </c>
      <c r="D126" s="53">
        <v>70</v>
      </c>
      <c r="E126" s="53">
        <v>70</v>
      </c>
      <c r="F126" s="53">
        <v>70</v>
      </c>
      <c r="G126" s="53">
        <v>70</v>
      </c>
      <c r="H126" s="53">
        <v>70</v>
      </c>
      <c r="I126" s="53">
        <v>70</v>
      </c>
      <c r="J126" s="53">
        <v>70</v>
      </c>
      <c r="K126" s="53">
        <v>70</v>
      </c>
      <c r="L126" s="53">
        <v>70</v>
      </c>
      <c r="M126" s="53">
        <v>70</v>
      </c>
      <c r="N126" s="54">
        <f t="shared" si="0"/>
        <v>700</v>
      </c>
      <c r="R126" s="4" t="s">
        <v>480</v>
      </c>
      <c r="S126" s="9" t="s">
        <v>486</v>
      </c>
    </row>
    <row r="127" spans="2:19" ht="17" x14ac:dyDescent="0.2">
      <c r="B127" s="6" t="s">
        <v>489</v>
      </c>
      <c r="C127" s="4" t="s">
        <v>490</v>
      </c>
      <c r="D127" s="47">
        <v>138000</v>
      </c>
      <c r="E127" s="47">
        <v>138000</v>
      </c>
      <c r="F127" s="47">
        <v>138000</v>
      </c>
      <c r="G127" s="47">
        <v>138000</v>
      </c>
      <c r="H127" s="47">
        <v>138000</v>
      </c>
      <c r="I127" s="47">
        <v>138000</v>
      </c>
      <c r="J127" s="47">
        <v>138000</v>
      </c>
      <c r="K127" s="47">
        <v>138000</v>
      </c>
      <c r="L127" s="47">
        <v>138000</v>
      </c>
      <c r="M127" s="47">
        <v>138000</v>
      </c>
      <c r="N127" s="52">
        <f t="shared" si="0"/>
        <v>1380000</v>
      </c>
      <c r="R127" s="4" t="s">
        <v>491</v>
      </c>
      <c r="S127" s="9" t="s">
        <v>492</v>
      </c>
    </row>
    <row r="128" spans="2:19" ht="17" x14ac:dyDescent="0.2">
      <c r="B128" s="6" t="s">
        <v>493</v>
      </c>
      <c r="C128" s="4" t="s">
        <v>494</v>
      </c>
      <c r="D128" s="47">
        <v>0</v>
      </c>
      <c r="E128" s="47">
        <v>0</v>
      </c>
      <c r="F128" s="47">
        <v>0</v>
      </c>
      <c r="G128" s="47">
        <v>0</v>
      </c>
      <c r="H128" s="47">
        <v>0</v>
      </c>
      <c r="I128" s="47">
        <v>0</v>
      </c>
      <c r="J128" s="47">
        <v>0</v>
      </c>
      <c r="K128" s="47">
        <v>0</v>
      </c>
      <c r="L128" s="47">
        <v>0</v>
      </c>
      <c r="M128" s="47">
        <v>0</v>
      </c>
      <c r="N128" s="52">
        <f t="shared" si="0"/>
        <v>0</v>
      </c>
      <c r="R128" s="4" t="s">
        <v>476</v>
      </c>
      <c r="S128" s="9" t="s">
        <v>495</v>
      </c>
    </row>
    <row r="129" spans="2:19" ht="30" customHeight="1" x14ac:dyDescent="0.2">
      <c r="B129" s="6" t="s">
        <v>496</v>
      </c>
      <c r="C129" s="4" t="s">
        <v>497</v>
      </c>
      <c r="D129" s="47">
        <v>0</v>
      </c>
      <c r="E129" s="47">
        <v>0</v>
      </c>
      <c r="F129" s="47">
        <v>0</v>
      </c>
      <c r="G129" s="47">
        <v>0</v>
      </c>
      <c r="H129" s="47">
        <v>0</v>
      </c>
      <c r="I129" s="47">
        <v>0</v>
      </c>
      <c r="J129" s="47">
        <v>0</v>
      </c>
      <c r="K129" s="47">
        <v>0</v>
      </c>
      <c r="L129" s="47">
        <v>0</v>
      </c>
      <c r="M129" s="47">
        <v>0</v>
      </c>
      <c r="N129" s="52">
        <f t="shared" si="0"/>
        <v>0</v>
      </c>
      <c r="R129" s="4" t="s">
        <v>221</v>
      </c>
      <c r="S129" s="9" t="s">
        <v>498</v>
      </c>
    </row>
    <row r="130" spans="2:19" ht="30" customHeight="1" x14ac:dyDescent="0.2">
      <c r="B130" s="6" t="s">
        <v>499</v>
      </c>
      <c r="C130" s="4" t="s">
        <v>500</v>
      </c>
      <c r="D130" s="47">
        <v>0</v>
      </c>
      <c r="E130" s="47">
        <v>0</v>
      </c>
      <c r="F130" s="47">
        <v>0</v>
      </c>
      <c r="G130" s="47">
        <v>0</v>
      </c>
      <c r="H130" s="47">
        <v>0</v>
      </c>
      <c r="I130" s="47">
        <v>0</v>
      </c>
      <c r="J130" s="47">
        <v>0</v>
      </c>
      <c r="K130" s="47">
        <v>0</v>
      </c>
      <c r="L130" s="47">
        <v>0</v>
      </c>
      <c r="M130" s="47">
        <v>0</v>
      </c>
      <c r="N130" s="52">
        <f t="shared" si="0"/>
        <v>0</v>
      </c>
      <c r="R130" s="4" t="s">
        <v>226</v>
      </c>
      <c r="S130" s="9" t="s">
        <v>501</v>
      </c>
    </row>
    <row r="131" spans="2:19" ht="17" x14ac:dyDescent="0.2">
      <c r="B131" s="6" t="s">
        <v>502</v>
      </c>
      <c r="C131" s="4" t="s">
        <v>369</v>
      </c>
      <c r="D131" s="32"/>
      <c r="E131" s="32"/>
      <c r="F131" s="32"/>
      <c r="G131" s="32"/>
      <c r="H131" s="32"/>
      <c r="I131" s="32"/>
      <c r="J131" s="32"/>
      <c r="K131" s="32"/>
      <c r="L131" s="32"/>
      <c r="M131" s="32"/>
      <c r="R131" s="4" t="s">
        <v>263</v>
      </c>
      <c r="S131" s="9" t="s">
        <v>124</v>
      </c>
    </row>
    <row r="132" spans="2:19" ht="17" x14ac:dyDescent="0.2">
      <c r="B132" s="6" t="s">
        <v>503</v>
      </c>
      <c r="C132" s="4" t="s">
        <v>262</v>
      </c>
      <c r="D132" s="56">
        <f t="shared" ref="D132:M132" si="1">$D$28</f>
        <v>1.2500000000000001E-2</v>
      </c>
      <c r="E132" s="56">
        <f t="shared" si="1"/>
        <v>1.2500000000000001E-2</v>
      </c>
      <c r="F132" s="56">
        <f t="shared" si="1"/>
        <v>1.2500000000000001E-2</v>
      </c>
      <c r="G132" s="56">
        <f t="shared" si="1"/>
        <v>1.2500000000000001E-2</v>
      </c>
      <c r="H132" s="56">
        <f t="shared" si="1"/>
        <v>1.2500000000000001E-2</v>
      </c>
      <c r="I132" s="56">
        <f t="shared" si="1"/>
        <v>1.2500000000000001E-2</v>
      </c>
      <c r="J132" s="56">
        <f t="shared" si="1"/>
        <v>1.2500000000000001E-2</v>
      </c>
      <c r="K132" s="56">
        <f t="shared" si="1"/>
        <v>1.2500000000000001E-2</v>
      </c>
      <c r="L132" s="56">
        <f t="shared" si="1"/>
        <v>1.2500000000000001E-2</v>
      </c>
      <c r="M132" s="56">
        <f t="shared" si="1"/>
        <v>1.2500000000000001E-2</v>
      </c>
      <c r="R132" s="4" t="s">
        <v>263</v>
      </c>
      <c r="S132" s="9" t="s">
        <v>234</v>
      </c>
    </row>
    <row r="134" spans="2:19" ht="16" x14ac:dyDescent="0.2">
      <c r="B134" s="49" t="s">
        <v>504</v>
      </c>
    </row>
    <row r="135" spans="2:19" ht="17" x14ac:dyDescent="0.2">
      <c r="B135" s="6" t="s">
        <v>505</v>
      </c>
      <c r="C135" s="4" t="s">
        <v>369</v>
      </c>
      <c r="D135" s="20">
        <f t="shared" ref="D135:M135" si="2">IF(ISNUMBER(D$131),D$131,$D$76)</f>
        <v>0.06</v>
      </c>
      <c r="E135" s="20">
        <f t="shared" si="2"/>
        <v>0.06</v>
      </c>
      <c r="F135" s="20">
        <f t="shared" si="2"/>
        <v>0.06</v>
      </c>
      <c r="G135" s="20">
        <f t="shared" si="2"/>
        <v>0.06</v>
      </c>
      <c r="H135" s="20">
        <f t="shared" si="2"/>
        <v>0.06</v>
      </c>
      <c r="I135" s="20">
        <f t="shared" si="2"/>
        <v>0.06</v>
      </c>
      <c r="J135" s="20">
        <f t="shared" si="2"/>
        <v>0.06</v>
      </c>
      <c r="K135" s="20">
        <f t="shared" si="2"/>
        <v>0.06</v>
      </c>
      <c r="L135" s="20">
        <f t="shared" si="2"/>
        <v>0.06</v>
      </c>
      <c r="M135" s="20">
        <f t="shared" si="2"/>
        <v>0.06</v>
      </c>
      <c r="R135" s="4" t="s">
        <v>263</v>
      </c>
      <c r="S135" s="9" t="s">
        <v>124</v>
      </c>
    </row>
    <row r="136" spans="2:19" ht="17" x14ac:dyDescent="0.2">
      <c r="B136" s="6" t="s">
        <v>506</v>
      </c>
      <c r="C136" s="4" t="s">
        <v>507</v>
      </c>
      <c r="D136" s="21">
        <f t="shared" ref="D136:M136" si="3">D$115*D$116*(1-D$135)</f>
        <v>1099.8</v>
      </c>
      <c r="E136" s="21">
        <f t="shared" si="3"/>
        <v>1099.8</v>
      </c>
      <c r="F136" s="21">
        <f t="shared" si="3"/>
        <v>1099.8</v>
      </c>
      <c r="G136" s="21">
        <f t="shared" si="3"/>
        <v>1099.8</v>
      </c>
      <c r="H136" s="21">
        <f t="shared" si="3"/>
        <v>1099.8</v>
      </c>
      <c r="I136" s="21">
        <f t="shared" si="3"/>
        <v>1099.8</v>
      </c>
      <c r="J136" s="21">
        <f t="shared" si="3"/>
        <v>1099.8</v>
      </c>
      <c r="K136" s="21">
        <f t="shared" si="3"/>
        <v>1099.8</v>
      </c>
      <c r="L136" s="21">
        <f t="shared" si="3"/>
        <v>1099.8</v>
      </c>
      <c r="M136" s="21">
        <f t="shared" si="3"/>
        <v>1099.8</v>
      </c>
      <c r="N136" s="52">
        <f>SUM(D136:M136)</f>
        <v>10997.999999999998</v>
      </c>
      <c r="R136" s="4" t="s">
        <v>226</v>
      </c>
      <c r="S136" s="9" t="s">
        <v>124</v>
      </c>
    </row>
    <row r="137" spans="2:19" ht="17" x14ac:dyDescent="0.2">
      <c r="B137" s="6" t="s">
        <v>508</v>
      </c>
      <c r="C137" s="4" t="s">
        <v>460</v>
      </c>
      <c r="D137" s="21">
        <f t="shared" ref="D137:M137" si="4">IF($D$51="Weighed",D$117,IF($D$52&gt;0,D$136/$D$52,0))</f>
        <v>4200</v>
      </c>
      <c r="E137" s="21">
        <f t="shared" si="4"/>
        <v>4200</v>
      </c>
      <c r="F137" s="21">
        <f t="shared" si="4"/>
        <v>4200</v>
      </c>
      <c r="G137" s="21">
        <f t="shared" si="4"/>
        <v>4200</v>
      </c>
      <c r="H137" s="21">
        <f t="shared" si="4"/>
        <v>4200</v>
      </c>
      <c r="I137" s="21">
        <f t="shared" si="4"/>
        <v>4200</v>
      </c>
      <c r="J137" s="21">
        <f t="shared" si="4"/>
        <v>4200</v>
      </c>
      <c r="K137" s="21">
        <f t="shared" si="4"/>
        <v>4200</v>
      </c>
      <c r="L137" s="21">
        <f t="shared" si="4"/>
        <v>4200</v>
      </c>
      <c r="M137" s="21">
        <f t="shared" si="4"/>
        <v>4200</v>
      </c>
      <c r="N137" s="52">
        <f>SUM(D137:M137)</f>
        <v>42000</v>
      </c>
      <c r="R137" s="4" t="s">
        <v>226</v>
      </c>
      <c r="S137" s="9" t="s">
        <v>509</v>
      </c>
    </row>
    <row r="138" spans="2:19" ht="17" x14ac:dyDescent="0.2">
      <c r="B138" s="6" t="s">
        <v>510</v>
      </c>
      <c r="C138" s="4"/>
      <c r="D138" s="4" t="str">
        <f t="shared" ref="D138:M138" si="5">IF($D$53&lt;=0,"n/a",IF(D$137&gt;0,IF(D$136/D$137&gt;$D$53,"Above ceiling","OK"),"n/a"))</f>
        <v>OK</v>
      </c>
      <c r="E138" s="4" t="str">
        <f t="shared" si="5"/>
        <v>OK</v>
      </c>
      <c r="F138" s="4" t="str">
        <f t="shared" si="5"/>
        <v>OK</v>
      </c>
      <c r="G138" s="4" t="str">
        <f t="shared" si="5"/>
        <v>OK</v>
      </c>
      <c r="H138" s="4" t="str">
        <f t="shared" si="5"/>
        <v>OK</v>
      </c>
      <c r="I138" s="4" t="str">
        <f t="shared" si="5"/>
        <v>OK</v>
      </c>
      <c r="J138" s="4" t="str">
        <f t="shared" si="5"/>
        <v>OK</v>
      </c>
      <c r="K138" s="4" t="str">
        <f t="shared" si="5"/>
        <v>OK</v>
      </c>
      <c r="L138" s="4" t="str">
        <f t="shared" si="5"/>
        <v>OK</v>
      </c>
      <c r="M138" s="4" t="str">
        <f t="shared" si="5"/>
        <v>OK</v>
      </c>
      <c r="R138" s="4"/>
      <c r="S138" s="9" t="s">
        <v>511</v>
      </c>
    </row>
    <row r="139" spans="2:19" ht="30" customHeight="1" x14ac:dyDescent="0.2">
      <c r="B139" s="6" t="s">
        <v>512</v>
      </c>
      <c r="C139" s="4" t="s">
        <v>513</v>
      </c>
      <c r="D139" s="21">
        <f>D$136*$D$80*Defaults!$C$5</f>
        <v>3226.0800000000031</v>
      </c>
      <c r="E139" s="21">
        <f>E$136*$D$80*Defaults!$C$5</f>
        <v>3226.0800000000031</v>
      </c>
      <c r="F139" s="21">
        <f>F$136*$D$80*Defaults!$C$5</f>
        <v>3226.0800000000031</v>
      </c>
      <c r="G139" s="21">
        <f>G$136*$D$80*Defaults!$C$5</f>
        <v>3226.0800000000031</v>
      </c>
      <c r="H139" s="21">
        <f>H$136*$D$80*Defaults!$C$5</f>
        <v>3226.0800000000031</v>
      </c>
      <c r="I139" s="21">
        <f>I$136*$D$80*Defaults!$C$5</f>
        <v>3226.0800000000031</v>
      </c>
      <c r="J139" s="21">
        <f>J$136*$D$80*Defaults!$C$5</f>
        <v>3226.0800000000031</v>
      </c>
      <c r="K139" s="21">
        <f>K$136*$D$80*Defaults!$C$5</f>
        <v>3226.0800000000031</v>
      </c>
      <c r="L139" s="21">
        <f>L$136*$D$80*Defaults!$C$5</f>
        <v>3226.0800000000031</v>
      </c>
      <c r="M139" s="21">
        <f>M$136*$D$80*Defaults!$C$5</f>
        <v>3226.0800000000031</v>
      </c>
      <c r="N139" s="52">
        <f>SUM(D139:M139)</f>
        <v>32260.800000000025</v>
      </c>
      <c r="R139" s="4" t="s">
        <v>221</v>
      </c>
      <c r="S139" s="9" t="s">
        <v>514</v>
      </c>
    </row>
    <row r="140" spans="2:19" ht="17" x14ac:dyDescent="0.2">
      <c r="B140" s="35" t="s">
        <v>227</v>
      </c>
      <c r="C140" s="2" t="s">
        <v>515</v>
      </c>
      <c r="D140" s="26">
        <f t="shared" ref="D140:M140" si="6">D$139*$D$88*(1-$D$91)*(1-$D$36)</f>
        <v>2911.5372000000029</v>
      </c>
      <c r="E140" s="26">
        <f t="shared" si="6"/>
        <v>2911.5372000000029</v>
      </c>
      <c r="F140" s="26">
        <f t="shared" si="6"/>
        <v>2911.5372000000029</v>
      </c>
      <c r="G140" s="26">
        <f t="shared" si="6"/>
        <v>2911.5372000000029</v>
      </c>
      <c r="H140" s="26">
        <f t="shared" si="6"/>
        <v>2911.5372000000029</v>
      </c>
      <c r="I140" s="26">
        <f t="shared" si="6"/>
        <v>2911.5372000000029</v>
      </c>
      <c r="J140" s="26">
        <f t="shared" si="6"/>
        <v>2911.5372000000029</v>
      </c>
      <c r="K140" s="26">
        <f t="shared" si="6"/>
        <v>2911.5372000000029</v>
      </c>
      <c r="L140" s="26">
        <f t="shared" si="6"/>
        <v>2911.5372000000029</v>
      </c>
      <c r="M140" s="26">
        <f t="shared" si="6"/>
        <v>2911.5372000000029</v>
      </c>
      <c r="N140" s="26">
        <f>SUM(D140:M140)</f>
        <v>29115.372000000028</v>
      </c>
      <c r="R140" s="2" t="s">
        <v>221</v>
      </c>
      <c r="S140" s="27" t="s">
        <v>516</v>
      </c>
    </row>
    <row r="142" spans="2:19" ht="16" x14ac:dyDescent="0.2">
      <c r="B142" s="49" t="s">
        <v>203</v>
      </c>
    </row>
    <row r="143" spans="2:19" ht="17" x14ac:dyDescent="0.2">
      <c r="B143" s="6" t="s">
        <v>517</v>
      </c>
      <c r="C143" s="4" t="s">
        <v>518</v>
      </c>
      <c r="D143" s="57">
        <f>IF(LEFT($D$97,8)="Option A",IF($D$54="Moist (&gt; 24%) — not creditable",0,D$136*$D$98),IF(LEFT($D$97,8)="Option B",D$136*$D$100,IF(LEFT($D$97,7)="Track 2",D$120*Defaults!$C$22,D$121)))*$D$29</f>
        <v>50.399999999999991</v>
      </c>
      <c r="E143" s="57">
        <f>IF(LEFT($D$97,8)="Option A",IF($D$54="Moist (&gt; 24%) — not creditable",0,E$136*$D$98),IF(LEFT($D$97,8)="Option B",E$136*$D$100,IF(LEFT($D$97,7)="Track 2",E$120*Defaults!$C$22,E$121)))*$D$29</f>
        <v>50.399999999999991</v>
      </c>
      <c r="F143" s="57">
        <f>IF(LEFT($D$97,8)="Option A",IF($D$54="Moist (&gt; 24%) — not creditable",0,F$136*$D$98),IF(LEFT($D$97,8)="Option B",F$136*$D$100,IF(LEFT($D$97,7)="Track 2",F$120*Defaults!$C$22,F$121)))*$D$29</f>
        <v>50.399999999999991</v>
      </c>
      <c r="G143" s="57">
        <f>IF(LEFT($D$97,8)="Option A",IF($D$54="Moist (&gt; 24%) — not creditable",0,G$136*$D$98),IF(LEFT($D$97,8)="Option B",G$136*$D$100,IF(LEFT($D$97,7)="Track 2",G$120*Defaults!$C$22,G$121)))*$D$29</f>
        <v>50.399999999999991</v>
      </c>
      <c r="H143" s="57">
        <f>IF(LEFT($D$97,8)="Option A",IF($D$54="Moist (&gt; 24%) — not creditable",0,H$136*$D$98),IF(LEFT($D$97,8)="Option B",H$136*$D$100,IF(LEFT($D$97,7)="Track 2",H$120*Defaults!$C$22,H$121)))*$D$29</f>
        <v>50.399999999999991</v>
      </c>
      <c r="I143" s="57">
        <f>IF(LEFT($D$97,8)="Option A",IF($D$54="Moist (&gt; 24%) — not creditable",0,I$136*$D$98),IF(LEFT($D$97,8)="Option B",I$136*$D$100,IF(LEFT($D$97,7)="Track 2",I$120*Defaults!$C$22,I$121)))*$D$29</f>
        <v>50.399999999999991</v>
      </c>
      <c r="J143" s="57">
        <f>IF(LEFT($D$97,8)="Option A",IF($D$54="Moist (&gt; 24%) — not creditable",0,J$136*$D$98),IF(LEFT($D$97,8)="Option B",J$136*$D$100,IF(LEFT($D$97,7)="Track 2",J$120*Defaults!$C$22,J$121)))*$D$29</f>
        <v>50.399999999999991</v>
      </c>
      <c r="K143" s="57">
        <f>IF(LEFT($D$97,8)="Option A",IF($D$54="Moist (&gt; 24%) — not creditable",0,K$136*$D$98),IF(LEFT($D$97,8)="Option B",K$136*$D$100,IF(LEFT($D$97,7)="Track 2",K$120*Defaults!$C$22,K$121)))*$D$29</f>
        <v>50.399999999999991</v>
      </c>
      <c r="L143" s="57">
        <f>IF(LEFT($D$97,8)="Option A",IF($D$54="Moist (&gt; 24%) — not creditable",0,L$136*$D$98),IF(LEFT($D$97,8)="Option B",L$136*$D$100,IF(LEFT($D$97,7)="Track 2",L$120*Defaults!$C$22,L$121)))*$D$29</f>
        <v>50.399999999999991</v>
      </c>
      <c r="M143" s="57">
        <f>IF(LEFT($D$97,8)="Option A",IF($D$54="Moist (&gt; 24%) — not creditable",0,M$136*$D$98),IF(LEFT($D$97,8)="Option B",M$136*$D$100,IF(LEFT($D$97,7)="Track 2",M$120*Defaults!$C$22,M$121)))*$D$29</f>
        <v>50.399999999999991</v>
      </c>
      <c r="N143" s="54">
        <f t="shared" ref="N143:N151" si="7">SUM(D143:M143)</f>
        <v>503.99999999999983</v>
      </c>
      <c r="R143" s="4" t="s">
        <v>221</v>
      </c>
      <c r="S143" s="9" t="s">
        <v>142</v>
      </c>
    </row>
    <row r="144" spans="2:19" ht="17" x14ac:dyDescent="0.2">
      <c r="B144" s="6" t="s">
        <v>519</v>
      </c>
      <c r="C144" s="4" t="s">
        <v>520</v>
      </c>
      <c r="D144" s="57">
        <f>IF(LEFT($D$104,9)="Small-hub",D$137*Defaults!$C$19,D$122*$D$101+D$123*$D$102)</f>
        <v>20.25</v>
      </c>
      <c r="E144" s="57">
        <f>IF(LEFT($D$104,9)="Small-hub",E$137*Defaults!$C$19,E$122*$D$101+E$123*$D$102)</f>
        <v>20.25</v>
      </c>
      <c r="F144" s="57">
        <f>IF(LEFT($D$104,9)="Small-hub",F$137*Defaults!$C$19,F$122*$D$101+F$123*$D$102)</f>
        <v>20.25</v>
      </c>
      <c r="G144" s="57">
        <f>IF(LEFT($D$104,9)="Small-hub",G$137*Defaults!$C$19,G$122*$D$101+G$123*$D$102)</f>
        <v>20.25</v>
      </c>
      <c r="H144" s="57">
        <f>IF(LEFT($D$104,9)="Small-hub",H$137*Defaults!$C$19,H$122*$D$101+H$123*$D$102)</f>
        <v>20.25</v>
      </c>
      <c r="I144" s="57">
        <f>IF(LEFT($D$104,9)="Small-hub",I$137*Defaults!$C$19,I$122*$D$101+I$123*$D$102)</f>
        <v>20.25</v>
      </c>
      <c r="J144" s="57">
        <f>IF(LEFT($D$104,9)="Small-hub",J$137*Defaults!$C$19,J$122*$D$101+J$123*$D$102)</f>
        <v>20.25</v>
      </c>
      <c r="K144" s="57">
        <f>IF(LEFT($D$104,9)="Small-hub",K$137*Defaults!$C$19,K$122*$D$101+K$123*$D$102)</f>
        <v>20.25</v>
      </c>
      <c r="L144" s="57">
        <f>IF(LEFT($D$104,9)="Small-hub",L$137*Defaults!$C$19,L$122*$D$101+L$123*$D$102)</f>
        <v>20.25</v>
      </c>
      <c r="M144" s="57">
        <f>IF(LEFT($D$104,9)="Small-hub",M$137*Defaults!$C$19,M$122*$D$101+M$123*$D$102)</f>
        <v>20.25</v>
      </c>
      <c r="N144" s="54">
        <f t="shared" si="7"/>
        <v>202.5</v>
      </c>
      <c r="R144" s="4" t="s">
        <v>221</v>
      </c>
      <c r="S144" s="9" t="s">
        <v>137</v>
      </c>
    </row>
    <row r="145" spans="2:19" ht="17" x14ac:dyDescent="0.2">
      <c r="B145" s="6" t="s">
        <v>521</v>
      </c>
      <c r="C145" s="4" t="s">
        <v>466</v>
      </c>
      <c r="D145" s="57">
        <f>IF(LEFT($D$69,7)="Default",D$137*$D$70*Defaults!$C$24*Defaults!$C$25*$D$29*MAX(0,D$118),IF(LEFT($D$69,8)="Activity",D$119,0))</f>
        <v>0</v>
      </c>
      <c r="E145" s="57">
        <f>IF(LEFT($D$69,7)="Default",E$137*$D$70*Defaults!$C$24*Defaults!$C$25*$D$29*MAX(0,E$118),IF(LEFT($D$69,8)="Activity",E$119,0))</f>
        <v>0</v>
      </c>
      <c r="F145" s="57">
        <f>IF(LEFT($D$69,7)="Default",F$137*$D$70*Defaults!$C$24*Defaults!$C$25*$D$29*MAX(0,F$118),IF(LEFT($D$69,8)="Activity",F$119,0))</f>
        <v>0</v>
      </c>
      <c r="G145" s="57">
        <f>IF(LEFT($D$69,7)="Default",G$137*$D$70*Defaults!$C$24*Defaults!$C$25*$D$29*MAX(0,G$118),IF(LEFT($D$69,8)="Activity",G$119,0))</f>
        <v>0</v>
      </c>
      <c r="H145" s="57">
        <f>IF(LEFT($D$69,7)="Default",H$137*$D$70*Defaults!$C$24*Defaults!$C$25*$D$29*MAX(0,H$118),IF(LEFT($D$69,8)="Activity",H$119,0))</f>
        <v>0</v>
      </c>
      <c r="I145" s="57">
        <f>IF(LEFT($D$69,7)="Default",I$137*$D$70*Defaults!$C$24*Defaults!$C$25*$D$29*MAX(0,I$118),IF(LEFT($D$69,8)="Activity",I$119,0))</f>
        <v>0</v>
      </c>
      <c r="J145" s="57">
        <f>IF(LEFT($D$69,7)="Default",J$137*$D$70*Defaults!$C$24*Defaults!$C$25*$D$29*MAX(0,J$118),IF(LEFT($D$69,8)="Activity",J$119,0))</f>
        <v>0</v>
      </c>
      <c r="K145" s="57">
        <f>IF(LEFT($D$69,7)="Default",K$137*$D$70*Defaults!$C$24*Defaults!$C$25*$D$29*MAX(0,K$118),IF(LEFT($D$69,8)="Activity",K$119,0))</f>
        <v>0</v>
      </c>
      <c r="L145" s="57">
        <f>IF(LEFT($D$69,7)="Default",L$137*$D$70*Defaults!$C$24*Defaults!$C$25*$D$29*MAX(0,L$118),IF(LEFT($D$69,8)="Activity",L$119,0))</f>
        <v>0</v>
      </c>
      <c r="M145" s="57">
        <f>IF(LEFT($D$69,7)="Default",M$137*$D$70*Defaults!$C$24*Defaults!$C$25*$D$29*MAX(0,M$118),IF(LEFT($D$69,8)="Activity",M$119,0))</f>
        <v>0</v>
      </c>
      <c r="N145" s="54">
        <f t="shared" si="7"/>
        <v>0</v>
      </c>
      <c r="R145" s="4" t="s">
        <v>221</v>
      </c>
      <c r="S145" s="9" t="s">
        <v>137</v>
      </c>
    </row>
    <row r="146" spans="2:19" ht="17" x14ac:dyDescent="0.2">
      <c r="B146" s="6" t="s">
        <v>522</v>
      </c>
      <c r="C146" s="4" t="s">
        <v>482</v>
      </c>
      <c r="D146" s="57">
        <f t="shared" ref="D146:M146" si="8">D$124</f>
        <v>0</v>
      </c>
      <c r="E146" s="57">
        <f t="shared" si="8"/>
        <v>0</v>
      </c>
      <c r="F146" s="57">
        <f t="shared" si="8"/>
        <v>0</v>
      </c>
      <c r="G146" s="57">
        <f t="shared" si="8"/>
        <v>0</v>
      </c>
      <c r="H146" s="57">
        <f t="shared" si="8"/>
        <v>0</v>
      </c>
      <c r="I146" s="57">
        <f t="shared" si="8"/>
        <v>0</v>
      </c>
      <c r="J146" s="57">
        <f t="shared" si="8"/>
        <v>0</v>
      </c>
      <c r="K146" s="57">
        <f t="shared" si="8"/>
        <v>0</v>
      </c>
      <c r="L146" s="57">
        <f t="shared" si="8"/>
        <v>0</v>
      </c>
      <c r="M146" s="57">
        <f t="shared" si="8"/>
        <v>0</v>
      </c>
      <c r="N146" s="54">
        <f t="shared" si="7"/>
        <v>0</v>
      </c>
      <c r="R146" s="4" t="s">
        <v>221</v>
      </c>
      <c r="S146" s="9" t="s">
        <v>483</v>
      </c>
    </row>
    <row r="147" spans="2:19" ht="17" x14ac:dyDescent="0.2">
      <c r="B147" s="6" t="s">
        <v>523</v>
      </c>
      <c r="C147" s="4" t="s">
        <v>524</v>
      </c>
      <c r="D147" s="57">
        <f t="shared" ref="D147:M147" si="9">D$125*$D$101+D$126*$D$102</f>
        <v>38.200000000000003</v>
      </c>
      <c r="E147" s="57">
        <f t="shared" si="9"/>
        <v>38.200000000000003</v>
      </c>
      <c r="F147" s="57">
        <f t="shared" si="9"/>
        <v>38.200000000000003</v>
      </c>
      <c r="G147" s="57">
        <f t="shared" si="9"/>
        <v>38.200000000000003</v>
      </c>
      <c r="H147" s="57">
        <f t="shared" si="9"/>
        <v>38.200000000000003</v>
      </c>
      <c r="I147" s="57">
        <f t="shared" si="9"/>
        <v>38.200000000000003</v>
      </c>
      <c r="J147" s="57">
        <f t="shared" si="9"/>
        <v>38.200000000000003</v>
      </c>
      <c r="K147" s="57">
        <f t="shared" si="9"/>
        <v>38.200000000000003</v>
      </c>
      <c r="L147" s="57">
        <f t="shared" si="9"/>
        <v>38.200000000000003</v>
      </c>
      <c r="M147" s="57">
        <f t="shared" si="9"/>
        <v>38.200000000000003</v>
      </c>
      <c r="N147" s="54">
        <f t="shared" si="7"/>
        <v>381.99999999999994</v>
      </c>
      <c r="R147" s="4" t="s">
        <v>221</v>
      </c>
      <c r="S147" s="9" t="s">
        <v>142</v>
      </c>
    </row>
    <row r="148" spans="2:19" ht="17" x14ac:dyDescent="0.2">
      <c r="B148" s="6" t="s">
        <v>525</v>
      </c>
      <c r="C148" s="4" t="s">
        <v>526</v>
      </c>
      <c r="D148" s="57">
        <f t="shared" ref="D148:M148" si="10">D$127*$D$103</f>
        <v>16.559999999999999</v>
      </c>
      <c r="E148" s="57">
        <f t="shared" si="10"/>
        <v>16.559999999999999</v>
      </c>
      <c r="F148" s="57">
        <f t="shared" si="10"/>
        <v>16.559999999999999</v>
      </c>
      <c r="G148" s="57">
        <f t="shared" si="10"/>
        <v>16.559999999999999</v>
      </c>
      <c r="H148" s="57">
        <f t="shared" si="10"/>
        <v>16.559999999999999</v>
      </c>
      <c r="I148" s="57">
        <f t="shared" si="10"/>
        <v>16.559999999999999</v>
      </c>
      <c r="J148" s="57">
        <f t="shared" si="10"/>
        <v>16.559999999999999</v>
      </c>
      <c r="K148" s="57">
        <f t="shared" si="10"/>
        <v>16.559999999999999</v>
      </c>
      <c r="L148" s="57">
        <f t="shared" si="10"/>
        <v>16.559999999999999</v>
      </c>
      <c r="M148" s="57">
        <f t="shared" si="10"/>
        <v>16.559999999999999</v>
      </c>
      <c r="N148" s="54">
        <f t="shared" si="7"/>
        <v>165.6</v>
      </c>
      <c r="R148" s="4" t="s">
        <v>221</v>
      </c>
      <c r="S148" s="9" t="s">
        <v>146</v>
      </c>
    </row>
    <row r="149" spans="2:19" ht="17" x14ac:dyDescent="0.2">
      <c r="B149" s="6" t="s">
        <v>527</v>
      </c>
      <c r="C149" s="4" t="s">
        <v>528</v>
      </c>
      <c r="D149" s="57">
        <f t="shared" ref="D149:M149" si="11">D$128*$D$101+D$129</f>
        <v>0</v>
      </c>
      <c r="E149" s="57">
        <f t="shared" si="11"/>
        <v>0</v>
      </c>
      <c r="F149" s="57">
        <f t="shared" si="11"/>
        <v>0</v>
      </c>
      <c r="G149" s="57">
        <f t="shared" si="11"/>
        <v>0</v>
      </c>
      <c r="H149" s="57">
        <f t="shared" si="11"/>
        <v>0</v>
      </c>
      <c r="I149" s="57">
        <f t="shared" si="11"/>
        <v>0</v>
      </c>
      <c r="J149" s="57">
        <f t="shared" si="11"/>
        <v>0</v>
      </c>
      <c r="K149" s="57">
        <f t="shared" si="11"/>
        <v>0</v>
      </c>
      <c r="L149" s="57">
        <f t="shared" si="11"/>
        <v>0</v>
      </c>
      <c r="M149" s="57">
        <f t="shared" si="11"/>
        <v>0</v>
      </c>
      <c r="N149" s="54">
        <f t="shared" si="7"/>
        <v>0</v>
      </c>
      <c r="R149" s="4" t="s">
        <v>221</v>
      </c>
      <c r="S149" s="9" t="s">
        <v>149</v>
      </c>
    </row>
    <row r="150" spans="2:19" ht="17" x14ac:dyDescent="0.2">
      <c r="B150" s="6" t="s">
        <v>529</v>
      </c>
      <c r="C150" s="4"/>
      <c r="D150" s="57">
        <f t="shared" ref="D150:M150" si="12">D$143+D$144+D$145+D$146+D$147+D$148+D$149</f>
        <v>125.41</v>
      </c>
      <c r="E150" s="57">
        <f t="shared" si="12"/>
        <v>125.41</v>
      </c>
      <c r="F150" s="57">
        <f t="shared" si="12"/>
        <v>125.41</v>
      </c>
      <c r="G150" s="57">
        <f t="shared" si="12"/>
        <v>125.41</v>
      </c>
      <c r="H150" s="57">
        <f t="shared" si="12"/>
        <v>125.41</v>
      </c>
      <c r="I150" s="57">
        <f t="shared" si="12"/>
        <v>125.41</v>
      </c>
      <c r="J150" s="57">
        <f t="shared" si="12"/>
        <v>125.41</v>
      </c>
      <c r="K150" s="57">
        <f t="shared" si="12"/>
        <v>125.41</v>
      </c>
      <c r="L150" s="57">
        <f t="shared" si="12"/>
        <v>125.41</v>
      </c>
      <c r="M150" s="57">
        <f t="shared" si="12"/>
        <v>125.41</v>
      </c>
      <c r="N150" s="54">
        <f t="shared" si="7"/>
        <v>1254.0999999999999</v>
      </c>
      <c r="R150" s="4" t="s">
        <v>221</v>
      </c>
      <c r="S150" s="9" t="s">
        <v>134</v>
      </c>
    </row>
    <row r="151" spans="2:19" ht="17" x14ac:dyDescent="0.2">
      <c r="B151" s="35" t="s">
        <v>228</v>
      </c>
      <c r="C151" s="2" t="s">
        <v>530</v>
      </c>
      <c r="D151" s="26">
        <f t="shared" ref="D151:M151" si="13">D$150*(1+$D$37)</f>
        <v>131.68049999999999</v>
      </c>
      <c r="E151" s="26">
        <f t="shared" si="13"/>
        <v>131.68049999999999</v>
      </c>
      <c r="F151" s="26">
        <f t="shared" si="13"/>
        <v>131.68049999999999</v>
      </c>
      <c r="G151" s="26">
        <f t="shared" si="13"/>
        <v>131.68049999999999</v>
      </c>
      <c r="H151" s="26">
        <f t="shared" si="13"/>
        <v>131.68049999999999</v>
      </c>
      <c r="I151" s="26">
        <f t="shared" si="13"/>
        <v>131.68049999999999</v>
      </c>
      <c r="J151" s="26">
        <f t="shared" si="13"/>
        <v>131.68049999999999</v>
      </c>
      <c r="K151" s="26">
        <f t="shared" si="13"/>
        <v>131.68049999999999</v>
      </c>
      <c r="L151" s="26">
        <f t="shared" si="13"/>
        <v>131.68049999999999</v>
      </c>
      <c r="M151" s="26">
        <f t="shared" si="13"/>
        <v>131.68049999999999</v>
      </c>
      <c r="N151" s="26">
        <f t="shared" si="7"/>
        <v>1316.8049999999996</v>
      </c>
      <c r="R151" s="2" t="s">
        <v>221</v>
      </c>
      <c r="S151" s="27" t="s">
        <v>531</v>
      </c>
    </row>
    <row r="153" spans="2:19" ht="16" x14ac:dyDescent="0.2">
      <c r="B153" s="49" t="s">
        <v>204</v>
      </c>
    </row>
    <row r="154" spans="2:19" ht="30" customHeight="1" x14ac:dyDescent="0.2">
      <c r="B154" s="6" t="s">
        <v>532</v>
      </c>
      <c r="C154" s="4" t="s">
        <v>432</v>
      </c>
      <c r="D154" s="57">
        <f>IF($D$109="Option B (inventory)",IF(1&lt;=$D$25,$D$108*D$115,0),IF(1&lt;=$D$25,D$136*IF($D$21="Track 1",Defaults!$C$20,Defaults!$C$21),0))</f>
        <v>54.99</v>
      </c>
      <c r="E154" s="57">
        <f>IF($D$109="Option B (inventory)",IF(2&lt;=$D$25,$D$108*E$115,0),IF(2&lt;=$D$25,E$136*IF($D$21="Track 1",Defaults!$C$20,Defaults!$C$21),0))</f>
        <v>54.99</v>
      </c>
      <c r="F154" s="57">
        <f>IF($D$109="Option B (inventory)",IF(3&lt;=$D$25,$D$108*F$115,0),IF(3&lt;=$D$25,F$136*IF($D$21="Track 1",Defaults!$C$20,Defaults!$C$21),0))</f>
        <v>54.99</v>
      </c>
      <c r="G154" s="57">
        <f>IF($D$109="Option B (inventory)",IF(4&lt;=$D$25,$D$108*G$115,0),IF(4&lt;=$D$25,G$136*IF($D$21="Track 1",Defaults!$C$20,Defaults!$C$21),0))</f>
        <v>54.99</v>
      </c>
      <c r="H154" s="57">
        <f>IF($D$109="Option B (inventory)",IF(5&lt;=$D$25,$D$108*H$115,0),IF(5&lt;=$D$25,H$136*IF($D$21="Track 1",Defaults!$C$20,Defaults!$C$21),0))</f>
        <v>54.99</v>
      </c>
      <c r="I154" s="57">
        <f>IF($D$109="Option B (inventory)",IF(6&lt;=$D$25,$D$108*I$115,0),IF(6&lt;=$D$25,I$136*IF($D$21="Track 1",Defaults!$C$20,Defaults!$C$21),0))</f>
        <v>0</v>
      </c>
      <c r="J154" s="57">
        <f>IF($D$109="Option B (inventory)",IF(7&lt;=$D$25,$D$108*J$115,0),IF(7&lt;=$D$25,J$136*IF($D$21="Track 1",Defaults!$C$20,Defaults!$C$21),0))</f>
        <v>0</v>
      </c>
      <c r="K154" s="57">
        <f>IF($D$109="Option B (inventory)",IF(8&lt;=$D$25,$D$108*K$115,0),IF(8&lt;=$D$25,K$136*IF($D$21="Track 1",Defaults!$C$20,Defaults!$C$21),0))</f>
        <v>0</v>
      </c>
      <c r="L154" s="57">
        <f>IF($D$109="Option B (inventory)",IF(9&lt;=$D$25,$D$108*L$115,0),IF(9&lt;=$D$25,L$136*IF($D$21="Track 1",Defaults!$C$20,Defaults!$C$21),0))</f>
        <v>0</v>
      </c>
      <c r="M154" s="57">
        <f>IF($D$109="Option B (inventory)",IF(10&lt;=$D$25,$D$108*M$115,0),IF(10&lt;=$D$25,M$136*IF($D$21="Track 1",Defaults!$C$20,Defaults!$C$21),0))</f>
        <v>0</v>
      </c>
      <c r="N154" s="54">
        <f t="shared" ref="N154:N159" si="14">SUM(D154:M154)</f>
        <v>274.95</v>
      </c>
      <c r="R154" s="4" t="s">
        <v>221</v>
      </c>
      <c r="S154" s="9" t="s">
        <v>436</v>
      </c>
    </row>
    <row r="155" spans="2:19" ht="17" x14ac:dyDescent="0.2">
      <c r="B155" s="6" t="s">
        <v>533</v>
      </c>
      <c r="C155" s="4" t="s">
        <v>534</v>
      </c>
      <c r="D155" s="57">
        <f>IF($D$55="Yes",0,D$130*IF(LEFT($D$56,6)="Fodder",$D$57,INDEX(Defaults!$C$74:$C$79,MATCH($D$56,Defaults!$B$74:$B$79,0))))</f>
        <v>0</v>
      </c>
      <c r="E155" s="57">
        <f>IF($D$55="Yes",0,E$130*IF(LEFT($D$56,6)="Fodder",$D$57,INDEX(Defaults!$C$74:$C$79,MATCH($D$56,Defaults!$B$74:$B$79,0))))</f>
        <v>0</v>
      </c>
      <c r="F155" s="57">
        <f>IF($D$55="Yes",0,F$130*IF(LEFT($D$56,6)="Fodder",$D$57,INDEX(Defaults!$C$74:$C$79,MATCH($D$56,Defaults!$B$74:$B$79,0))))</f>
        <v>0</v>
      </c>
      <c r="G155" s="57">
        <f>IF($D$55="Yes",0,G$130*IF(LEFT($D$56,6)="Fodder",$D$57,INDEX(Defaults!$C$74:$C$79,MATCH($D$56,Defaults!$B$74:$B$79,0))))</f>
        <v>0</v>
      </c>
      <c r="H155" s="57">
        <f>IF($D$55="Yes",0,H$130*IF(LEFT($D$56,6)="Fodder",$D$57,INDEX(Defaults!$C$74:$C$79,MATCH($D$56,Defaults!$B$74:$B$79,0))))</f>
        <v>0</v>
      </c>
      <c r="I155" s="57">
        <f>IF($D$55="Yes",0,I$130*IF(LEFT($D$56,6)="Fodder",$D$57,INDEX(Defaults!$C$74:$C$79,MATCH($D$56,Defaults!$B$74:$B$79,0))))</f>
        <v>0</v>
      </c>
      <c r="J155" s="57">
        <f>IF($D$55="Yes",0,J$130*IF(LEFT($D$56,6)="Fodder",$D$57,INDEX(Defaults!$C$74:$C$79,MATCH($D$56,Defaults!$B$74:$B$79,0))))</f>
        <v>0</v>
      </c>
      <c r="K155" s="57">
        <f>IF($D$55="Yes",0,K$130*IF(LEFT($D$56,6)="Fodder",$D$57,INDEX(Defaults!$C$74:$C$79,MATCH($D$56,Defaults!$B$74:$B$79,0))))</f>
        <v>0</v>
      </c>
      <c r="L155" s="57">
        <f>IF($D$55="Yes",0,L$130*IF(LEFT($D$56,6)="Fodder",$D$57,INDEX(Defaults!$C$74:$C$79,MATCH($D$56,Defaults!$B$74:$B$79,0))))</f>
        <v>0</v>
      </c>
      <c r="M155" s="57">
        <f>IF($D$55="Yes",0,M$130*IF(LEFT($D$56,6)="Fodder",$D$57,INDEX(Defaults!$C$74:$C$79,MATCH($D$56,Defaults!$B$74:$B$79,0))))</f>
        <v>0</v>
      </c>
      <c r="N155" s="54">
        <f t="shared" si="14"/>
        <v>0</v>
      </c>
      <c r="R155" s="4" t="s">
        <v>221</v>
      </c>
      <c r="S155" s="9" t="s">
        <v>535</v>
      </c>
    </row>
    <row r="156" spans="2:19" ht="30" customHeight="1" x14ac:dyDescent="0.2">
      <c r="B156" s="6" t="s">
        <v>536</v>
      </c>
      <c r="C156" s="4"/>
      <c r="D156" s="57">
        <f>IF(AND(LEFT($D$23,2)="F1",LEFT($D$58,8)="Retained"),D$137*Defaults!$C$32,0)</f>
        <v>0</v>
      </c>
      <c r="E156" s="57">
        <f>IF(AND(LEFT($D$23,2)="F1",LEFT($D$58,8)="Retained"),E$137*Defaults!$C$32,0)</f>
        <v>0</v>
      </c>
      <c r="F156" s="57">
        <f>IF(AND(LEFT($D$23,2)="F1",LEFT($D$58,8)="Retained"),F$137*Defaults!$C$32,0)</f>
        <v>0</v>
      </c>
      <c r="G156" s="57">
        <f>IF(AND(LEFT($D$23,2)="F1",LEFT($D$58,8)="Retained"),G$137*Defaults!$C$32,0)</f>
        <v>0</v>
      </c>
      <c r="H156" s="57">
        <f>IF(AND(LEFT($D$23,2)="F1",LEFT($D$58,8)="Retained"),H$137*Defaults!$C$32,0)</f>
        <v>0</v>
      </c>
      <c r="I156" s="57">
        <f>IF(AND(LEFT($D$23,2)="F1",LEFT($D$58,8)="Retained"),I$137*Defaults!$C$32,0)</f>
        <v>0</v>
      </c>
      <c r="J156" s="57">
        <f>IF(AND(LEFT($D$23,2)="F1",LEFT($D$58,8)="Retained"),J$137*Defaults!$C$32,0)</f>
        <v>0</v>
      </c>
      <c r="K156" s="57">
        <f>IF(AND(LEFT($D$23,2)="F1",LEFT($D$58,8)="Retained"),K$137*Defaults!$C$32,0)</f>
        <v>0</v>
      </c>
      <c r="L156" s="57">
        <f>IF(AND(LEFT($D$23,2)="F1",LEFT($D$58,8)="Retained"),L$137*Defaults!$C$32,0)</f>
        <v>0</v>
      </c>
      <c r="M156" s="57">
        <f>IF(AND(LEFT($D$23,2)="F1",LEFT($D$58,8)="Retained"),M$137*Defaults!$C$32,0)</f>
        <v>0</v>
      </c>
      <c r="N156" s="54">
        <f t="shared" si="14"/>
        <v>0</v>
      </c>
      <c r="R156" s="4" t="s">
        <v>221</v>
      </c>
      <c r="S156" s="9" t="s">
        <v>537</v>
      </c>
    </row>
    <row r="157" spans="2:19" ht="30" customHeight="1" x14ac:dyDescent="0.2">
      <c r="B157" s="6" t="s">
        <v>538</v>
      </c>
      <c r="C157" s="4"/>
      <c r="D157" s="57">
        <f>IF(LEFT($D$23,2)&lt;&gt;"F1",0,IF(LEFT($D$58,7)="Removed",0,D$137*(IF(LEFT($D$58,8)="Retained",$D$65*Defaults!$C$33,0)+(1-$D$68)*($D$66*Defaults!$C$43+$D$67*Defaults!$C$44))))</f>
        <v>0</v>
      </c>
      <c r="E157" s="57">
        <f>IF(LEFT($D$23,2)&lt;&gt;"F1",0,IF(LEFT($D$58,7)="Removed",0,E$137*(IF(LEFT($D$58,8)="Retained",$D$65*Defaults!$C$33,0)+(1-$D$68)*($D$66*Defaults!$C$43+$D$67*Defaults!$C$44))))</f>
        <v>0</v>
      </c>
      <c r="F157" s="57">
        <f>IF(LEFT($D$23,2)&lt;&gt;"F1",0,IF(LEFT($D$58,7)="Removed",0,F$137*(IF(LEFT($D$58,8)="Retained",$D$65*Defaults!$C$33,0)+(1-$D$68)*($D$66*Defaults!$C$43+$D$67*Defaults!$C$44))))</f>
        <v>0</v>
      </c>
      <c r="G157" s="57">
        <f>IF(LEFT($D$23,2)&lt;&gt;"F1",0,IF(LEFT($D$58,7)="Removed",0,G$137*(IF(LEFT($D$58,8)="Retained",$D$65*Defaults!$C$33,0)+(1-$D$68)*($D$66*Defaults!$C$43+$D$67*Defaults!$C$44))))</f>
        <v>0</v>
      </c>
      <c r="H157" s="57">
        <f>IF(LEFT($D$23,2)&lt;&gt;"F1",0,IF(LEFT($D$58,7)="Removed",0,H$137*(IF(LEFT($D$58,8)="Retained",$D$65*Defaults!$C$33,0)+(1-$D$68)*($D$66*Defaults!$C$43+$D$67*Defaults!$C$44))))</f>
        <v>0</v>
      </c>
      <c r="I157" s="57">
        <f>IF(LEFT($D$23,2)&lt;&gt;"F1",0,IF(LEFT($D$58,7)="Removed",0,I$137*(IF(LEFT($D$58,8)="Retained",$D$65*Defaults!$C$33,0)+(1-$D$68)*($D$66*Defaults!$C$43+$D$67*Defaults!$C$44))))</f>
        <v>0</v>
      </c>
      <c r="J157" s="57">
        <f>IF(LEFT($D$23,2)&lt;&gt;"F1",0,IF(LEFT($D$58,7)="Removed",0,J$137*(IF(LEFT($D$58,8)="Retained",$D$65*Defaults!$C$33,0)+(1-$D$68)*($D$66*Defaults!$C$43+$D$67*Defaults!$C$44))))</f>
        <v>0</v>
      </c>
      <c r="K157" s="57">
        <f>IF(LEFT($D$23,2)&lt;&gt;"F1",0,IF(LEFT($D$58,7)="Removed",0,K$137*(IF(LEFT($D$58,8)="Retained",$D$65*Defaults!$C$33,0)+(1-$D$68)*($D$66*Defaults!$C$43+$D$67*Defaults!$C$44))))</f>
        <v>0</v>
      </c>
      <c r="L157" s="57">
        <f>IF(LEFT($D$23,2)&lt;&gt;"F1",0,IF(LEFT($D$58,7)="Removed",0,L$137*(IF(LEFT($D$58,8)="Retained",$D$65*Defaults!$C$33,0)+(1-$D$68)*($D$66*Defaults!$C$43+$D$67*Defaults!$C$44))))</f>
        <v>0</v>
      </c>
      <c r="M157" s="57">
        <f>IF(LEFT($D$23,2)&lt;&gt;"F1",0,IF(LEFT($D$58,7)="Removed",0,M$137*(IF(LEFT($D$58,8)="Retained",$D$65*Defaults!$C$33,0)+(1-$D$68)*($D$66*Defaults!$C$43+$D$67*Defaults!$C$44))))</f>
        <v>0</v>
      </c>
      <c r="N157" s="54">
        <f t="shared" si="14"/>
        <v>0</v>
      </c>
      <c r="R157" s="4" t="s">
        <v>221</v>
      </c>
      <c r="S157" s="9" t="s">
        <v>539</v>
      </c>
    </row>
    <row r="158" spans="2:19" ht="17" x14ac:dyDescent="0.2">
      <c r="B158" s="6" t="s">
        <v>540</v>
      </c>
      <c r="C158" s="4"/>
      <c r="D158" s="57">
        <f t="shared" ref="D158:M158" si="15">D$154+D$155+D$156+D$157</f>
        <v>54.99</v>
      </c>
      <c r="E158" s="57">
        <f t="shared" si="15"/>
        <v>54.99</v>
      </c>
      <c r="F158" s="57">
        <f t="shared" si="15"/>
        <v>54.99</v>
      </c>
      <c r="G158" s="57">
        <f t="shared" si="15"/>
        <v>54.99</v>
      </c>
      <c r="H158" s="57">
        <f t="shared" si="15"/>
        <v>54.99</v>
      </c>
      <c r="I158" s="57">
        <f t="shared" si="15"/>
        <v>0</v>
      </c>
      <c r="J158" s="57">
        <f t="shared" si="15"/>
        <v>0</v>
      </c>
      <c r="K158" s="57">
        <f t="shared" si="15"/>
        <v>0</v>
      </c>
      <c r="L158" s="57">
        <f t="shared" si="15"/>
        <v>0</v>
      </c>
      <c r="M158" s="57">
        <f t="shared" si="15"/>
        <v>0</v>
      </c>
      <c r="N158" s="54">
        <f t="shared" si="14"/>
        <v>274.95</v>
      </c>
      <c r="R158" s="4" t="s">
        <v>221</v>
      </c>
      <c r="S158" s="9" t="s">
        <v>230</v>
      </c>
    </row>
    <row r="159" spans="2:19" ht="17" x14ac:dyDescent="0.2">
      <c r="B159" s="35" t="s">
        <v>229</v>
      </c>
      <c r="C159" s="2" t="s">
        <v>541</v>
      </c>
      <c r="D159" s="26">
        <f t="shared" ref="D159:M159" si="16">D$158*(1+$D$38)</f>
        <v>54.99</v>
      </c>
      <c r="E159" s="26">
        <f t="shared" si="16"/>
        <v>54.99</v>
      </c>
      <c r="F159" s="26">
        <f t="shared" si="16"/>
        <v>54.99</v>
      </c>
      <c r="G159" s="26">
        <f t="shared" si="16"/>
        <v>54.99</v>
      </c>
      <c r="H159" s="26">
        <f t="shared" si="16"/>
        <v>54.99</v>
      </c>
      <c r="I159" s="26">
        <f t="shared" si="16"/>
        <v>0</v>
      </c>
      <c r="J159" s="26">
        <f t="shared" si="16"/>
        <v>0</v>
      </c>
      <c r="K159" s="26">
        <f t="shared" si="16"/>
        <v>0</v>
      </c>
      <c r="L159" s="26">
        <f t="shared" si="16"/>
        <v>0</v>
      </c>
      <c r="M159" s="26">
        <f t="shared" si="16"/>
        <v>0</v>
      </c>
      <c r="N159" s="26">
        <f t="shared" si="14"/>
        <v>274.95</v>
      </c>
      <c r="R159" s="2" t="s">
        <v>221</v>
      </c>
      <c r="S159" s="27" t="s">
        <v>542</v>
      </c>
    </row>
    <row r="161" spans="2:19" ht="16" x14ac:dyDescent="0.2">
      <c r="B161" s="49" t="s">
        <v>543</v>
      </c>
    </row>
    <row r="162" spans="2:19" ht="17" x14ac:dyDescent="0.2">
      <c r="B162" s="6" t="s">
        <v>544</v>
      </c>
      <c r="C162" s="4" t="s">
        <v>545</v>
      </c>
      <c r="D162" s="21">
        <f>0</f>
        <v>0</v>
      </c>
      <c r="E162" s="21">
        <f>0</f>
        <v>0</v>
      </c>
      <c r="F162" s="21">
        <f>0</f>
        <v>0</v>
      </c>
      <c r="G162" s="21">
        <f>0</f>
        <v>0</v>
      </c>
      <c r="H162" s="21">
        <f>0</f>
        <v>0</v>
      </c>
      <c r="I162" s="21">
        <f>0</f>
        <v>0</v>
      </c>
      <c r="J162" s="21">
        <f>0</f>
        <v>0</v>
      </c>
      <c r="K162" s="21">
        <f>0</f>
        <v>0</v>
      </c>
      <c r="L162" s="21">
        <f>0</f>
        <v>0</v>
      </c>
      <c r="M162" s="21">
        <f>0</f>
        <v>0</v>
      </c>
      <c r="N162" s="52">
        <f>SUM(D162:M162)</f>
        <v>0</v>
      </c>
      <c r="R162" s="4" t="s">
        <v>221</v>
      </c>
      <c r="S162" s="9" t="s">
        <v>118</v>
      </c>
    </row>
    <row r="163" spans="2:19" ht="17" x14ac:dyDescent="0.2">
      <c r="B163" s="6" t="s">
        <v>546</v>
      </c>
      <c r="C163" s="4" t="s">
        <v>547</v>
      </c>
      <c r="D163" s="21">
        <f t="shared" ref="D163:M163" si="17">D$151+D$159</f>
        <v>186.6705</v>
      </c>
      <c r="E163" s="21">
        <f t="shared" si="17"/>
        <v>186.6705</v>
      </c>
      <c r="F163" s="21">
        <f t="shared" si="17"/>
        <v>186.6705</v>
      </c>
      <c r="G163" s="21">
        <f t="shared" si="17"/>
        <v>186.6705</v>
      </c>
      <c r="H163" s="21">
        <f t="shared" si="17"/>
        <v>186.6705</v>
      </c>
      <c r="I163" s="21">
        <f t="shared" si="17"/>
        <v>131.68049999999999</v>
      </c>
      <c r="J163" s="21">
        <f t="shared" si="17"/>
        <v>131.68049999999999</v>
      </c>
      <c r="K163" s="21">
        <f t="shared" si="17"/>
        <v>131.68049999999999</v>
      </c>
      <c r="L163" s="21">
        <f t="shared" si="17"/>
        <v>131.68049999999999</v>
      </c>
      <c r="M163" s="21">
        <f t="shared" si="17"/>
        <v>131.68049999999999</v>
      </c>
      <c r="N163" s="52">
        <f>SUM(D163:M163)</f>
        <v>1591.7549999999997</v>
      </c>
      <c r="R163" s="4" t="s">
        <v>221</v>
      </c>
      <c r="S163" s="9" t="s">
        <v>548</v>
      </c>
    </row>
    <row r="164" spans="2:19" ht="30" customHeight="1" x14ac:dyDescent="0.2">
      <c r="B164" s="6" t="s">
        <v>549</v>
      </c>
      <c r="C164" s="4" t="s">
        <v>550</v>
      </c>
      <c r="D164" s="58">
        <f>0</f>
        <v>0</v>
      </c>
      <c r="E164" s="58">
        <f t="shared" ref="E164:M164" si="18">IF(D$165&lt;0,D$165,IF(D$167="Fail",MAX(0,D$165),0))</f>
        <v>0</v>
      </c>
      <c r="F164" s="58">
        <f t="shared" si="18"/>
        <v>0</v>
      </c>
      <c r="G164" s="58">
        <f t="shared" si="18"/>
        <v>0</v>
      </c>
      <c r="H164" s="58">
        <f t="shared" si="18"/>
        <v>0</v>
      </c>
      <c r="I164" s="58">
        <f t="shared" si="18"/>
        <v>0</v>
      </c>
      <c r="J164" s="58">
        <f t="shared" si="18"/>
        <v>0</v>
      </c>
      <c r="K164" s="58">
        <f t="shared" si="18"/>
        <v>0</v>
      </c>
      <c r="L164" s="58">
        <f t="shared" si="18"/>
        <v>0</v>
      </c>
      <c r="M164" s="58">
        <f t="shared" si="18"/>
        <v>0</v>
      </c>
      <c r="R164" s="4" t="s">
        <v>221</v>
      </c>
      <c r="S164" s="9" t="s">
        <v>551</v>
      </c>
    </row>
    <row r="165" spans="2:19" ht="17" x14ac:dyDescent="0.2">
      <c r="B165" s="35" t="s">
        <v>552</v>
      </c>
      <c r="C165" s="2" t="s">
        <v>553</v>
      </c>
      <c r="D165" s="59">
        <f t="shared" ref="D165:M165" si="19">D$140-D$162-D$163+D$164</f>
        <v>2724.8667000000028</v>
      </c>
      <c r="E165" s="59">
        <f t="shared" si="19"/>
        <v>2724.8667000000028</v>
      </c>
      <c r="F165" s="59">
        <f t="shared" si="19"/>
        <v>2724.8667000000028</v>
      </c>
      <c r="G165" s="59">
        <f t="shared" si="19"/>
        <v>2724.8667000000028</v>
      </c>
      <c r="H165" s="59">
        <f t="shared" si="19"/>
        <v>2724.8667000000028</v>
      </c>
      <c r="I165" s="59">
        <f t="shared" si="19"/>
        <v>2779.856700000003</v>
      </c>
      <c r="J165" s="59">
        <f t="shared" si="19"/>
        <v>2779.856700000003</v>
      </c>
      <c r="K165" s="59">
        <f t="shared" si="19"/>
        <v>2779.856700000003</v>
      </c>
      <c r="L165" s="59">
        <f t="shared" si="19"/>
        <v>2779.856700000003</v>
      </c>
      <c r="M165" s="59">
        <f t="shared" si="19"/>
        <v>2779.856700000003</v>
      </c>
      <c r="R165" s="2" t="s">
        <v>221</v>
      </c>
      <c r="S165" s="27" t="s">
        <v>554</v>
      </c>
    </row>
    <row r="166" spans="2:19" ht="17" x14ac:dyDescent="0.2">
      <c r="B166" s="6" t="s">
        <v>555</v>
      </c>
      <c r="C166" s="4" t="s">
        <v>556</v>
      </c>
      <c r="D166" s="60">
        <f t="shared" ref="D166:M166" si="20">IF(D$150&gt;0,D$139/D$150,IF(D$139&gt;0,999,0))</f>
        <v>25.724264412726285</v>
      </c>
      <c r="E166" s="60">
        <f t="shared" si="20"/>
        <v>25.724264412726285</v>
      </c>
      <c r="F166" s="60">
        <f t="shared" si="20"/>
        <v>25.724264412726285</v>
      </c>
      <c r="G166" s="60">
        <f t="shared" si="20"/>
        <v>25.724264412726285</v>
      </c>
      <c r="H166" s="60">
        <f t="shared" si="20"/>
        <v>25.724264412726285</v>
      </c>
      <c r="I166" s="60">
        <f t="shared" si="20"/>
        <v>25.724264412726285</v>
      </c>
      <c r="J166" s="60">
        <f t="shared" si="20"/>
        <v>25.724264412726285</v>
      </c>
      <c r="K166" s="60">
        <f t="shared" si="20"/>
        <v>25.724264412726285</v>
      </c>
      <c r="L166" s="60">
        <f t="shared" si="20"/>
        <v>25.724264412726285</v>
      </c>
      <c r="M166" s="60">
        <f t="shared" si="20"/>
        <v>25.724264412726285</v>
      </c>
      <c r="R166" s="4" t="s">
        <v>382</v>
      </c>
      <c r="S166" s="9" t="s">
        <v>514</v>
      </c>
    </row>
    <row r="167" spans="2:19" ht="17" x14ac:dyDescent="0.2">
      <c r="B167" s="6" t="s">
        <v>557</v>
      </c>
      <c r="C167" s="4"/>
      <c r="D167" s="4" t="str">
        <f>IF(D$115=0,"n/a",IF(D$166&gt;=Defaults!$C$6,"Pass","Fail"))</f>
        <v>Pass</v>
      </c>
      <c r="E167" s="4" t="str">
        <f>IF(E$115=0,"n/a",IF(E$166&gt;=Defaults!$C$6,"Pass","Fail"))</f>
        <v>Pass</v>
      </c>
      <c r="F167" s="4" t="str">
        <f>IF(F$115=0,"n/a",IF(F$166&gt;=Defaults!$C$6,"Pass","Fail"))</f>
        <v>Pass</v>
      </c>
      <c r="G167" s="4" t="str">
        <f>IF(G$115=0,"n/a",IF(G$166&gt;=Defaults!$C$6,"Pass","Fail"))</f>
        <v>Pass</v>
      </c>
      <c r="H167" s="4" t="str">
        <f>IF(H$115=0,"n/a",IF(H$166&gt;=Defaults!$C$6,"Pass","Fail"))</f>
        <v>Pass</v>
      </c>
      <c r="I167" s="4" t="str">
        <f>IF(I$115=0,"n/a",IF(I$166&gt;=Defaults!$C$6,"Pass","Fail"))</f>
        <v>Pass</v>
      </c>
      <c r="J167" s="4" t="str">
        <f>IF(J$115=0,"n/a",IF(J$166&gt;=Defaults!$C$6,"Pass","Fail"))</f>
        <v>Pass</v>
      </c>
      <c r="K167" s="4" t="str">
        <f>IF(K$115=0,"n/a",IF(K$166&gt;=Defaults!$C$6,"Pass","Fail"))</f>
        <v>Pass</v>
      </c>
      <c r="L167" s="4" t="str">
        <f>IF(L$115=0,"n/a",IF(L$166&gt;=Defaults!$C$6,"Pass","Fail"))</f>
        <v>Pass</v>
      </c>
      <c r="M167" s="4" t="str">
        <f>IF(M$115=0,"n/a",IF(M$166&gt;=Defaults!$C$6,"Pass","Fail"))</f>
        <v>Pass</v>
      </c>
      <c r="N167" s="61">
        <f>COUNTIF(D167:M167,"Fail")</f>
        <v>0</v>
      </c>
      <c r="R167" s="4"/>
      <c r="S167" s="9" t="s">
        <v>163</v>
      </c>
    </row>
    <row r="168" spans="2:19" ht="17" x14ac:dyDescent="0.2">
      <c r="B168" s="6" t="s">
        <v>558</v>
      </c>
      <c r="C168" s="4" t="s">
        <v>559</v>
      </c>
      <c r="D168" s="21">
        <f t="shared" ref="D168:M168" si="21">IF(D$167="Pass",MAX(0,D$165)*$D$46,0)</f>
        <v>81.746001000000078</v>
      </c>
      <c r="E168" s="21">
        <f t="shared" si="21"/>
        <v>81.746001000000078</v>
      </c>
      <c r="F168" s="21">
        <f t="shared" si="21"/>
        <v>81.746001000000078</v>
      </c>
      <c r="G168" s="21">
        <f t="shared" si="21"/>
        <v>81.746001000000078</v>
      </c>
      <c r="H168" s="21">
        <f t="shared" si="21"/>
        <v>81.746001000000078</v>
      </c>
      <c r="I168" s="21">
        <f t="shared" si="21"/>
        <v>83.395701000000088</v>
      </c>
      <c r="J168" s="21">
        <f t="shared" si="21"/>
        <v>83.395701000000088</v>
      </c>
      <c r="K168" s="21">
        <f t="shared" si="21"/>
        <v>83.395701000000088</v>
      </c>
      <c r="L168" s="21">
        <f t="shared" si="21"/>
        <v>83.395701000000088</v>
      </c>
      <c r="M168" s="21">
        <f t="shared" si="21"/>
        <v>83.395701000000088</v>
      </c>
      <c r="N168" s="52">
        <f>SUM(D168:M168)</f>
        <v>825.70851000000107</v>
      </c>
      <c r="R168" s="4" t="s">
        <v>221</v>
      </c>
      <c r="S168" s="9" t="s">
        <v>560</v>
      </c>
    </row>
    <row r="169" spans="2:19" ht="17" x14ac:dyDescent="0.2">
      <c r="B169" s="6" t="s">
        <v>233</v>
      </c>
      <c r="C169" s="4" t="s">
        <v>561</v>
      </c>
      <c r="D169" s="21">
        <f t="shared" ref="D169:M169" si="22">IF(D$167="Pass",MAX(0,D$165)*D$132,0)</f>
        <v>34.060833750000036</v>
      </c>
      <c r="E169" s="21">
        <f t="shared" si="22"/>
        <v>34.060833750000036</v>
      </c>
      <c r="F169" s="21">
        <f t="shared" si="22"/>
        <v>34.060833750000036</v>
      </c>
      <c r="G169" s="21">
        <f t="shared" si="22"/>
        <v>34.060833750000036</v>
      </c>
      <c r="H169" s="21">
        <f t="shared" si="22"/>
        <v>34.060833750000036</v>
      </c>
      <c r="I169" s="21">
        <f t="shared" si="22"/>
        <v>34.748208750000039</v>
      </c>
      <c r="J169" s="21">
        <f t="shared" si="22"/>
        <v>34.748208750000039</v>
      </c>
      <c r="K169" s="21">
        <f t="shared" si="22"/>
        <v>34.748208750000039</v>
      </c>
      <c r="L169" s="21">
        <f t="shared" si="22"/>
        <v>34.748208750000039</v>
      </c>
      <c r="M169" s="21">
        <f t="shared" si="22"/>
        <v>34.748208750000039</v>
      </c>
      <c r="N169" s="52">
        <f>SUM(D169:M169)</f>
        <v>344.04521250000039</v>
      </c>
      <c r="R169" s="4" t="s">
        <v>221</v>
      </c>
      <c r="S169" s="9" t="s">
        <v>562</v>
      </c>
    </row>
    <row r="170" spans="2:19" ht="17" x14ac:dyDescent="0.2">
      <c r="B170" s="6" t="s">
        <v>563</v>
      </c>
      <c r="C170" s="4" t="s">
        <v>564</v>
      </c>
      <c r="D170" s="21">
        <f t="shared" ref="D170:M170" si="23">IF(D$167="Pass",MAX(0,D$165-D$168-D$169),0)</f>
        <v>2609.0598652500025</v>
      </c>
      <c r="E170" s="21">
        <f t="shared" si="23"/>
        <v>2609.0598652500025</v>
      </c>
      <c r="F170" s="21">
        <f t="shared" si="23"/>
        <v>2609.0598652500025</v>
      </c>
      <c r="G170" s="21">
        <f t="shared" si="23"/>
        <v>2609.0598652500025</v>
      </c>
      <c r="H170" s="21">
        <f t="shared" si="23"/>
        <v>2609.0598652500025</v>
      </c>
      <c r="I170" s="21">
        <f t="shared" si="23"/>
        <v>2661.7127902500029</v>
      </c>
      <c r="J170" s="21">
        <f t="shared" si="23"/>
        <v>2661.7127902500029</v>
      </c>
      <c r="K170" s="21">
        <f t="shared" si="23"/>
        <v>2661.7127902500029</v>
      </c>
      <c r="L170" s="21">
        <f t="shared" si="23"/>
        <v>2661.7127902500029</v>
      </c>
      <c r="M170" s="21">
        <f t="shared" si="23"/>
        <v>2661.7127902500029</v>
      </c>
      <c r="N170" s="52">
        <f>SUM(D170:M170)</f>
        <v>26353.86327750003</v>
      </c>
      <c r="R170" s="4" t="s">
        <v>221</v>
      </c>
      <c r="S170" s="9" t="s">
        <v>565</v>
      </c>
    </row>
    <row r="171" spans="2:19" ht="30" customHeight="1" x14ac:dyDescent="0.2">
      <c r="B171" s="35" t="s">
        <v>566</v>
      </c>
      <c r="C171" s="2" t="s">
        <v>567</v>
      </c>
      <c r="D171" s="26">
        <f>IF($D$21="Track 1",MIN(Defaults!$C$46,D$170),D$170)</f>
        <v>2609.0598652500025</v>
      </c>
      <c r="E171" s="26">
        <f>IF($D$21="Track 1",MIN(Defaults!$C$46,E$170),E$170)</f>
        <v>2609.0598652500025</v>
      </c>
      <c r="F171" s="26">
        <f>IF($D$21="Track 1",MIN(Defaults!$C$46,F$170),F$170)</f>
        <v>2609.0598652500025</v>
      </c>
      <c r="G171" s="26">
        <f>IF($D$21="Track 1",MIN(Defaults!$C$46,G$170),G$170)</f>
        <v>2609.0598652500025</v>
      </c>
      <c r="H171" s="26">
        <f>IF($D$21="Track 1",MIN(Defaults!$C$46,H$170),H$170)</f>
        <v>2609.0598652500025</v>
      </c>
      <c r="I171" s="26">
        <f>IF($D$21="Track 1",MIN(Defaults!$C$46,I$170),I$170)</f>
        <v>2661.7127902500029</v>
      </c>
      <c r="J171" s="26">
        <f>IF($D$21="Track 1",MIN(Defaults!$C$46,J$170),J$170)</f>
        <v>2661.7127902500029</v>
      </c>
      <c r="K171" s="26">
        <f>IF($D$21="Track 1",MIN(Defaults!$C$46,K$170),K$170)</f>
        <v>2661.7127902500029</v>
      </c>
      <c r="L171" s="26">
        <f>IF($D$21="Track 1",MIN(Defaults!$C$46,L$170),L$170)</f>
        <v>2661.7127902500029</v>
      </c>
      <c r="M171" s="26">
        <f>IF($D$21="Track 1",MIN(Defaults!$C$46,M$170),M$170)</f>
        <v>2661.7127902500029</v>
      </c>
      <c r="N171" s="26">
        <f>SUM(D171:M171)</f>
        <v>26353.86327750003</v>
      </c>
      <c r="R171" s="2" t="s">
        <v>221</v>
      </c>
      <c r="S171" s="27" t="s">
        <v>568</v>
      </c>
    </row>
    <row r="172" spans="2:19" ht="30" customHeight="1" x14ac:dyDescent="0.2">
      <c r="B172" s="6" t="s">
        <v>569</v>
      </c>
      <c r="C172" s="4"/>
      <c r="D172" s="21">
        <f t="shared" ref="D172:M172" si="24">D$170-D$171</f>
        <v>0</v>
      </c>
      <c r="E172" s="21">
        <f t="shared" si="24"/>
        <v>0</v>
      </c>
      <c r="F172" s="21">
        <f t="shared" si="24"/>
        <v>0</v>
      </c>
      <c r="G172" s="21">
        <f t="shared" si="24"/>
        <v>0</v>
      </c>
      <c r="H172" s="21">
        <f t="shared" si="24"/>
        <v>0</v>
      </c>
      <c r="I172" s="21">
        <f t="shared" si="24"/>
        <v>0</v>
      </c>
      <c r="J172" s="21">
        <f t="shared" si="24"/>
        <v>0</v>
      </c>
      <c r="K172" s="21">
        <f t="shared" si="24"/>
        <v>0</v>
      </c>
      <c r="L172" s="21">
        <f t="shared" si="24"/>
        <v>0</v>
      </c>
      <c r="M172" s="21">
        <f t="shared" si="24"/>
        <v>0</v>
      </c>
      <c r="N172" s="52">
        <f>SUM(D172:M172)</f>
        <v>0</v>
      </c>
      <c r="R172" s="4" t="s">
        <v>221</v>
      </c>
      <c r="S172" s="9" t="s">
        <v>240</v>
      </c>
    </row>
  </sheetData>
  <sheetProtection password="8666" sheet="1" formatColumns="0" formatRows="0"/>
  <mergeCells count="1">
    <mergeCell ref="B3:F3"/>
  </mergeCells>
  <pageMargins left="0.75" right="0.75" top="1" bottom="1" header="0.511811023622047" footer="0.511811023622047"/>
  <pageSetup paperSize="9" orientation="portrait" horizontalDpi="300" verticalDpi="300"/>
  <extLst>
    <ext xmlns:x14="http://schemas.microsoft.com/office/spreadsheetml/2009/9/main" uri="{CCE6A557-97BC-4b89-ADB6-D9C93CAAB3DF}">
      <x14:dataValidations xmlns:xm="http://schemas.microsoft.com/office/excel/2006/main" count="18">
        <x14:dataValidation type="list" xr:uid="{00000000-0002-0000-0A00-000000000000}">
          <x14:formula1>
            <xm:f>Lists!$B$2:$B$4</xm:f>
          </x14:formula1>
          <x14:formula2>
            <xm:f>0</xm:f>
          </x14:formula2>
          <xm:sqref>D21</xm:sqref>
        </x14:dataValidation>
        <x14:dataValidation type="list" xr:uid="{00000000-0002-0000-0A00-000001000000}">
          <x14:formula1>
            <xm:f>Lists!$C$2:$C$4</xm:f>
          </x14:formula1>
          <x14:formula2>
            <xm:f>0</xm:f>
          </x14:formula2>
          <xm:sqref>D22</xm:sqref>
        </x14:dataValidation>
        <x14:dataValidation type="list" xr:uid="{00000000-0002-0000-0A00-000002000000}">
          <x14:formula1>
            <xm:f>Lists!$D$2:$D$7</xm:f>
          </x14:formula1>
          <x14:formula2>
            <xm:f>0</xm:f>
          </x14:formula2>
          <xm:sqref>D23</xm:sqref>
        </x14:dataValidation>
        <x14:dataValidation type="list" xr:uid="{00000000-0002-0000-0A00-000003000000}">
          <x14:formula1>
            <xm:f>Lists!$J$2:$J$3</xm:f>
          </x14:formula1>
          <x14:formula2>
            <xm:f>0</xm:f>
          </x14:formula2>
          <xm:sqref>D30 D90 D55</xm:sqref>
        </x14:dataValidation>
        <x14:dataValidation type="list" xr:uid="{00000000-0002-0000-0A00-000004000000}">
          <x14:formula1>
            <xm:f>Lists!$P$2:$P$3</xm:f>
          </x14:formula1>
          <x14:formula2>
            <xm:f>0</xm:f>
          </x14:formula2>
          <xm:sqref>D45</xm:sqref>
        </x14:dataValidation>
        <x14:dataValidation type="list" xr:uid="{00000000-0002-0000-0A00-000005000000}">
          <x14:formula1>
            <xm:f>Defaults!$B$52:$B$57</xm:f>
          </x14:formula1>
          <x14:formula2>
            <xm:f>0</xm:f>
          </x14:formula2>
          <xm:sqref>D50</xm:sqref>
        </x14:dataValidation>
        <x14:dataValidation type="list" xr:uid="{00000000-0002-0000-0A00-000006000000}">
          <x14:formula1>
            <xm:f>Lists!$I$2:$I$3</xm:f>
          </x14:formula1>
          <x14:formula2>
            <xm:f>0</xm:f>
          </x14:formula2>
          <xm:sqref>D51</xm:sqref>
        </x14:dataValidation>
        <x14:dataValidation type="list" xr:uid="{00000000-0002-0000-0A00-000007000000}">
          <x14:formula1>
            <xm:f>Lists!$G$2:$G$4</xm:f>
          </x14:formula1>
          <x14:formula2>
            <xm:f>0</xm:f>
          </x14:formula2>
          <xm:sqref>D54</xm:sqref>
        </x14:dataValidation>
        <x14:dataValidation type="list" xr:uid="{00000000-0002-0000-0A00-000009000000}">
          <x14:formula1>
            <xm:f>Defaults!$B$74:$B$79</xm:f>
          </x14:formula1>
          <x14:formula2>
            <xm:f>0</xm:f>
          </x14:formula2>
          <xm:sqref>D56</xm:sqref>
        </x14:dataValidation>
        <x14:dataValidation type="list" xr:uid="{00000000-0002-0000-0A00-00000A000000}">
          <x14:formula1>
            <xm:f>Lists!$L$2:$L$4</xm:f>
          </x14:formula1>
          <x14:formula2>
            <xm:f>0</xm:f>
          </x14:formula2>
          <xm:sqref>D58</xm:sqref>
        </x14:dataValidation>
        <x14:dataValidation type="list" xr:uid="{00000000-0002-0000-0A00-00000B000000}">
          <x14:formula1>
            <xm:f>Lists!$O$2:$O$5</xm:f>
          </x14:formula1>
          <x14:formula2>
            <xm:f>0</xm:f>
          </x14:formula2>
          <xm:sqref>D61</xm:sqref>
        </x14:dataValidation>
        <x14:dataValidation type="list" xr:uid="{00000000-0002-0000-0A00-00000C000000}">
          <x14:formula1>
            <xm:f>Lists!$Q$2:$Q$4</xm:f>
          </x14:formula1>
          <x14:formula2>
            <xm:f>0</xm:f>
          </x14:formula2>
          <xm:sqref>D69</xm:sqref>
        </x14:dataValidation>
        <x14:dataValidation type="list" xr:uid="{00000000-0002-0000-0A00-00000D000000}">
          <x14:formula1>
            <xm:f>Lists!$K$2:$K$3</xm:f>
          </x14:formula1>
          <x14:formula2>
            <xm:f>0</xm:f>
          </x14:formula2>
          <xm:sqref>D74</xm:sqref>
        </x14:dataValidation>
        <x14:dataValidation type="list" xr:uid="{00000000-0002-0000-0A00-00000E000000}">
          <x14:formula1>
            <xm:f>Lists!$E$2:$E$3</xm:f>
          </x14:formula1>
          <x14:formula2>
            <xm:f>0</xm:f>
          </x14:formula2>
          <xm:sqref>D77</xm:sqref>
        </x14:dataValidation>
        <x14:dataValidation type="list" xr:uid="{00000000-0002-0000-0A00-00000F000000}">
          <x14:formula1>
            <xm:f>Lists!$F$2:$F$4</xm:f>
          </x14:formula1>
          <x14:formula2>
            <xm:f>0</xm:f>
          </x14:formula2>
          <xm:sqref>D84</xm:sqref>
        </x14:dataValidation>
        <x14:dataValidation type="list" xr:uid="{00000000-0002-0000-0A00-000010000000}">
          <x14:formula1>
            <xm:f>Defaults!$B$67:$B$70</xm:f>
          </x14:formula1>
          <x14:formula2>
            <xm:f>0</xm:f>
          </x14:formula2>
          <xm:sqref>D89</xm:sqref>
        </x14:dataValidation>
        <x14:dataValidation type="list" xr:uid="{00000000-0002-0000-0A00-000012000000}">
          <x14:formula1>
            <xm:f>Lists!$H$2:$H$5</xm:f>
          </x14:formula1>
          <x14:formula2>
            <xm:f>0</xm:f>
          </x14:formula2>
          <xm:sqref>D97</xm:sqref>
        </x14:dataValidation>
        <x14:dataValidation type="list" xr:uid="{00000000-0002-0000-0A00-000013000000}">
          <x14:formula1>
            <xm:f>Lists!$N$2:$N$3</xm:f>
          </x14:formula1>
          <x14:formula2>
            <xm:f>0</xm:f>
          </x14:formula2>
          <xm:sqref>D104</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S172"/>
  <sheetViews>
    <sheetView showGridLines="0" zoomScaleNormal="100" workbookViewId="0">
      <pane xSplit="2" ySplit="4" topLeftCell="C5" activePane="bottomRight" state="frozen"/>
      <selection pane="topRight" activeCell="C1" sqref="C1"/>
      <selection pane="bottomLeft" activeCell="A5" sqref="A5"/>
      <selection pane="bottomRight"/>
    </sheetView>
  </sheetViews>
  <sheetFormatPr baseColWidth="10" defaultColWidth="8.5" defaultRowHeight="15" x14ac:dyDescent="0.2"/>
  <cols>
    <col min="1" max="1" width="3.1640625" customWidth="1"/>
    <col min="2" max="2" width="64" customWidth="1"/>
    <col min="3" max="3" width="22" customWidth="1"/>
    <col min="4" max="14" width="13" customWidth="1"/>
    <col min="18" max="18" width="16" customWidth="1"/>
    <col min="19" max="19" width="40" customWidth="1"/>
  </cols>
  <sheetData>
    <row r="1" spans="2:6" ht="25.5" customHeight="1" x14ac:dyDescent="0.25">
      <c r="B1" s="14" t="s">
        <v>603</v>
      </c>
    </row>
    <row r="2" spans="2:6" ht="16" x14ac:dyDescent="0.2">
      <c r="B2" s="9" t="s">
        <v>212</v>
      </c>
    </row>
    <row r="3" spans="2:6" ht="109.5" customHeight="1" x14ac:dyDescent="0.2">
      <c r="B3" s="80" t="s">
        <v>604</v>
      </c>
      <c r="C3" s="80"/>
      <c r="D3" s="80"/>
      <c r="E3" s="80"/>
      <c r="F3" s="80"/>
    </row>
    <row r="5" spans="2:6" ht="16" x14ac:dyDescent="0.2">
      <c r="B5" s="10" t="s">
        <v>214</v>
      </c>
      <c r="C5" s="11"/>
      <c r="D5" s="11"/>
      <c r="E5" s="11"/>
      <c r="F5" s="11"/>
    </row>
    <row r="6" spans="2:6" ht="16" x14ac:dyDescent="0.2">
      <c r="B6" s="12" t="s">
        <v>215</v>
      </c>
      <c r="C6" s="12" t="s">
        <v>216</v>
      </c>
      <c r="D6" s="12" t="s">
        <v>217</v>
      </c>
      <c r="E6" s="12" t="s">
        <v>218</v>
      </c>
      <c r="F6" s="12" t="s">
        <v>219</v>
      </c>
    </row>
    <row r="7" spans="2:6" ht="16" x14ac:dyDescent="0.2">
      <c r="B7" s="2" t="s">
        <v>220</v>
      </c>
      <c r="C7" s="25"/>
      <c r="D7" s="26">
        <f>$N$171</f>
        <v>72723.021946502267</v>
      </c>
      <c r="E7" s="2" t="s">
        <v>221</v>
      </c>
      <c r="F7" s="27" t="s">
        <v>222</v>
      </c>
    </row>
    <row r="8" spans="2:6" ht="16" x14ac:dyDescent="0.2">
      <c r="B8" s="2" t="s">
        <v>223</v>
      </c>
      <c r="C8" s="25"/>
      <c r="D8" s="22">
        <f>IF($N$136&gt;0,$N$171/$N$136,0)</f>
        <v>0.91131606449250957</v>
      </c>
      <c r="E8" s="2" t="s">
        <v>224</v>
      </c>
      <c r="F8" s="27"/>
    </row>
    <row r="9" spans="2:6" ht="16" x14ac:dyDescent="0.2">
      <c r="B9" s="2" t="s">
        <v>225</v>
      </c>
      <c r="C9" s="25"/>
      <c r="D9" s="26">
        <f>$N$136</f>
        <v>79800</v>
      </c>
      <c r="E9" s="2" t="s">
        <v>226</v>
      </c>
      <c r="F9" s="27" t="s">
        <v>124</v>
      </c>
    </row>
    <row r="10" spans="2:6" ht="16" x14ac:dyDescent="0.2">
      <c r="B10" s="2" t="s">
        <v>227</v>
      </c>
      <c r="C10" s="25"/>
      <c r="D10" s="26">
        <f>$N$140</f>
        <v>93289.406437924437</v>
      </c>
      <c r="E10" s="2" t="s">
        <v>221</v>
      </c>
      <c r="F10" s="27" t="s">
        <v>121</v>
      </c>
    </row>
    <row r="11" spans="2:6" ht="16" x14ac:dyDescent="0.2">
      <c r="B11" s="2" t="s">
        <v>228</v>
      </c>
      <c r="C11" s="25"/>
      <c r="D11" s="26">
        <f>$N$151</f>
        <v>13233.019999999999</v>
      </c>
      <c r="E11" s="2" t="s">
        <v>221</v>
      </c>
      <c r="F11" s="27" t="s">
        <v>134</v>
      </c>
    </row>
    <row r="12" spans="2:6" ht="16" x14ac:dyDescent="0.2">
      <c r="B12" s="2" t="s">
        <v>229</v>
      </c>
      <c r="C12" s="25"/>
      <c r="D12" s="26">
        <f>$N$159</f>
        <v>4500</v>
      </c>
      <c r="E12" s="2" t="s">
        <v>221</v>
      </c>
      <c r="F12" s="27" t="s">
        <v>230</v>
      </c>
    </row>
    <row r="13" spans="2:6" ht="16" x14ac:dyDescent="0.2">
      <c r="B13" s="2" t="s">
        <v>231</v>
      </c>
      <c r="C13" s="25"/>
      <c r="D13" s="26">
        <f>$N$168</f>
        <v>1888.909660948111</v>
      </c>
      <c r="E13" s="2" t="s">
        <v>221</v>
      </c>
      <c r="F13" s="27" t="s">
        <v>232</v>
      </c>
    </row>
    <row r="14" spans="2:6" ht="16" x14ac:dyDescent="0.2">
      <c r="B14" s="2" t="s">
        <v>233</v>
      </c>
      <c r="C14" s="25"/>
      <c r="D14" s="26">
        <f>$N$169</f>
        <v>944.45483047405548</v>
      </c>
      <c r="E14" s="2" t="s">
        <v>221</v>
      </c>
      <c r="F14" s="27" t="s">
        <v>234</v>
      </c>
    </row>
    <row r="15" spans="2:6" ht="16" x14ac:dyDescent="0.2">
      <c r="B15" s="2" t="s">
        <v>235</v>
      </c>
      <c r="C15" s="25"/>
      <c r="D15" s="28">
        <f>$N$167</f>
        <v>0</v>
      </c>
      <c r="E15" s="2" t="s">
        <v>236</v>
      </c>
      <c r="F15" s="27" t="s">
        <v>163</v>
      </c>
    </row>
    <row r="16" spans="2:6" ht="16" x14ac:dyDescent="0.2">
      <c r="B16" s="2" t="s">
        <v>237</v>
      </c>
      <c r="C16" s="25"/>
      <c r="D16" s="28">
        <f>COUNTIF(D165:M165,"&lt;0")</f>
        <v>0</v>
      </c>
      <c r="E16" s="2" t="s">
        <v>236</v>
      </c>
      <c r="F16" s="27" t="s">
        <v>238</v>
      </c>
    </row>
    <row r="17" spans="2:6" ht="16" x14ac:dyDescent="0.2">
      <c r="B17" s="2" t="s">
        <v>239</v>
      </c>
      <c r="C17" s="25"/>
      <c r="D17" s="26">
        <f>$N$172</f>
        <v>0</v>
      </c>
      <c r="E17" s="2" t="s">
        <v>221</v>
      </c>
      <c r="F17" s="27" t="s">
        <v>240</v>
      </c>
    </row>
    <row r="18" spans="2:6" ht="16" x14ac:dyDescent="0.2">
      <c r="B18" s="2" t="s">
        <v>241</v>
      </c>
      <c r="C18" s="25"/>
      <c r="D18" s="29" t="str">
        <f>IF(AND($D$83&lt;&gt;"Not creditable under Method 1 (H:Corg above 0.50)",$D$83&lt;&gt;"Track 1 default-route limit 0.40 exceeded — test the batch",$D$60&lt;&gt;"Below the 70% floor — residue not eligible",$D$93&lt;&gt;"Above the 50 t/ha cap",COUNTIF(D138:M138,"Above ceiling")=0,$D$110="OK"),"OK","Check Parts A to F: "&amp;$D$83&amp;"; "&amp;$D$60&amp;"; "&amp;$D$93&amp;"; mass-balance flags "&amp;COUNTIF(D138:M138,"Above ceiling")&amp;"; "&amp;$D$110)</f>
        <v>OK</v>
      </c>
      <c r="E18" s="2"/>
      <c r="F18" s="27"/>
    </row>
    <row r="19" spans="2:6" ht="16" x14ac:dyDescent="0.2">
      <c r="B19" s="10" t="s">
        <v>242</v>
      </c>
      <c r="C19" s="11"/>
      <c r="D19" s="11"/>
      <c r="E19" s="11"/>
      <c r="F19" s="11"/>
    </row>
    <row r="20" spans="2:6" ht="16" x14ac:dyDescent="0.2">
      <c r="B20" s="12" t="s">
        <v>215</v>
      </c>
      <c r="C20" s="12" t="s">
        <v>216</v>
      </c>
      <c r="D20" s="12" t="s">
        <v>217</v>
      </c>
      <c r="E20" s="12" t="s">
        <v>218</v>
      </c>
      <c r="F20" s="12" t="s">
        <v>219</v>
      </c>
    </row>
    <row r="21" spans="2:6" ht="51" x14ac:dyDescent="0.2">
      <c r="B21" s="6" t="s">
        <v>243</v>
      </c>
      <c r="C21" s="4"/>
      <c r="D21" s="30" t="s">
        <v>588</v>
      </c>
      <c r="E21" s="4"/>
      <c r="F21" s="1" t="s">
        <v>245</v>
      </c>
    </row>
    <row r="22" spans="2:6" ht="17" x14ac:dyDescent="0.2">
      <c r="B22" s="6" t="s">
        <v>179</v>
      </c>
      <c r="C22" s="4"/>
      <c r="D22" s="30" t="s">
        <v>605</v>
      </c>
      <c r="E22" s="4"/>
      <c r="F22" s="1" t="s">
        <v>247</v>
      </c>
    </row>
    <row r="23" spans="2:6" ht="17" x14ac:dyDescent="0.2">
      <c r="B23" s="6" t="s">
        <v>180</v>
      </c>
      <c r="C23" s="4"/>
      <c r="D23" s="30" t="s">
        <v>606</v>
      </c>
      <c r="E23" s="4"/>
      <c r="F23" s="1" t="s">
        <v>249</v>
      </c>
    </row>
    <row r="24" spans="2:6" ht="17" x14ac:dyDescent="0.2">
      <c r="B24" s="6" t="s">
        <v>250</v>
      </c>
      <c r="C24" s="4"/>
      <c r="D24" s="30" t="s">
        <v>607</v>
      </c>
      <c r="E24" s="4"/>
      <c r="F24" s="1" t="s">
        <v>240</v>
      </c>
    </row>
    <row r="25" spans="2:6" ht="30" customHeight="1" x14ac:dyDescent="0.2">
      <c r="B25" s="6" t="s">
        <v>252</v>
      </c>
      <c r="C25" s="4"/>
      <c r="D25" s="30">
        <v>5</v>
      </c>
      <c r="E25" s="4" t="s">
        <v>253</v>
      </c>
      <c r="F25" s="1" t="s">
        <v>254</v>
      </c>
    </row>
    <row r="26" spans="2:6" ht="45" customHeight="1" x14ac:dyDescent="0.2">
      <c r="B26" s="6" t="s">
        <v>255</v>
      </c>
      <c r="C26" s="4" t="s">
        <v>256</v>
      </c>
      <c r="D26" s="30"/>
      <c r="E26" s="4" t="s">
        <v>257</v>
      </c>
      <c r="F26" s="1" t="s">
        <v>258</v>
      </c>
    </row>
    <row r="27" spans="2:6" ht="30" customHeight="1" x14ac:dyDescent="0.2">
      <c r="B27" s="6" t="s">
        <v>259</v>
      </c>
      <c r="C27" s="4" t="s">
        <v>256</v>
      </c>
      <c r="D27" s="4">
        <f>ROUND(MIN(Defaults!$C$16,MAX(Defaults!$C$15,CEILING(IF(ISNUMBER($D$26),$D$26,Defaults!$C$14),1))),0)</f>
        <v>25</v>
      </c>
      <c r="E27" s="4" t="s">
        <v>257</v>
      </c>
      <c r="F27" s="1" t="s">
        <v>260</v>
      </c>
    </row>
    <row r="28" spans="2:6" ht="45" customHeight="1" x14ac:dyDescent="0.2">
      <c r="B28" s="6" t="s">
        <v>261</v>
      </c>
      <c r="C28" s="4" t="s">
        <v>262</v>
      </c>
      <c r="D28" s="31">
        <f>Defaults!$C$47</f>
        <v>1.2500000000000001E-2</v>
      </c>
      <c r="E28" s="4" t="s">
        <v>263</v>
      </c>
      <c r="F28" s="1" t="s">
        <v>264</v>
      </c>
    </row>
    <row r="29" spans="2:6" ht="17" x14ac:dyDescent="0.2">
      <c r="B29" s="6" t="s">
        <v>265</v>
      </c>
      <c r="C29" s="4" t="s">
        <v>266</v>
      </c>
      <c r="D29" s="3">
        <f>Defaults!$C$4</f>
        <v>28</v>
      </c>
      <c r="E29" s="4" t="s">
        <v>267</v>
      </c>
      <c r="F29" s="1" t="s">
        <v>268</v>
      </c>
    </row>
    <row r="30" spans="2:6" ht="45" customHeight="1" x14ac:dyDescent="0.2">
      <c r="B30" s="6" t="s">
        <v>269</v>
      </c>
      <c r="C30" s="4"/>
      <c r="D30" s="30" t="s">
        <v>270</v>
      </c>
      <c r="E30" s="4"/>
      <c r="F30" s="1" t="s">
        <v>271</v>
      </c>
    </row>
    <row r="31" spans="2:6" ht="30" customHeight="1" x14ac:dyDescent="0.2">
      <c r="B31" s="6" t="s">
        <v>272</v>
      </c>
      <c r="C31" s="4" t="s">
        <v>273</v>
      </c>
      <c r="D31" s="32">
        <v>5.0000000000000001E-3</v>
      </c>
      <c r="E31" s="4" t="s">
        <v>263</v>
      </c>
      <c r="F31" s="1" t="s">
        <v>274</v>
      </c>
    </row>
    <row r="32" spans="2:6" ht="51" x14ac:dyDescent="0.2">
      <c r="B32" s="6" t="s">
        <v>275</v>
      </c>
      <c r="C32" s="4" t="s">
        <v>276</v>
      </c>
      <c r="D32" s="32">
        <v>0.01</v>
      </c>
      <c r="E32" s="4" t="s">
        <v>263</v>
      </c>
      <c r="F32" s="1" t="s">
        <v>277</v>
      </c>
    </row>
    <row r="33" spans="2:6" ht="30" customHeight="1" x14ac:dyDescent="0.2">
      <c r="B33" s="6" t="s">
        <v>278</v>
      </c>
      <c r="C33" s="4" t="s">
        <v>279</v>
      </c>
      <c r="D33" s="32">
        <v>0.02</v>
      </c>
      <c r="E33" s="4" t="s">
        <v>263</v>
      </c>
      <c r="F33" s="1" t="s">
        <v>280</v>
      </c>
    </row>
    <row r="34" spans="2:6" ht="17" x14ac:dyDescent="0.2">
      <c r="B34" s="6" t="s">
        <v>281</v>
      </c>
      <c r="C34" s="4" t="s">
        <v>282</v>
      </c>
      <c r="D34" s="20">
        <f>SQRT($D$31^2+$D$32^2+$D$33^2)</f>
        <v>2.2912878474779203E-2</v>
      </c>
      <c r="E34" s="4" t="s">
        <v>263</v>
      </c>
      <c r="F34" s="1" t="s">
        <v>283</v>
      </c>
    </row>
    <row r="35" spans="2:6" ht="30" customHeight="1" x14ac:dyDescent="0.2">
      <c r="B35" s="6" t="s">
        <v>284</v>
      </c>
      <c r="C35" s="4" t="s">
        <v>282</v>
      </c>
      <c r="D35" s="32">
        <v>0.06</v>
      </c>
      <c r="E35" s="4" t="s">
        <v>263</v>
      </c>
      <c r="F35" s="1" t="s">
        <v>285</v>
      </c>
    </row>
    <row r="36" spans="2:6" ht="51" x14ac:dyDescent="0.2">
      <c r="B36" s="6" t="s">
        <v>286</v>
      </c>
      <c r="C36" s="4" t="s">
        <v>287</v>
      </c>
      <c r="D36" s="20">
        <f>IF($D$21="Track 1",Defaults!$C$7,IF($D$21="Track 2",IF($D$30="Yes",MAX(0,$D$34-Defaults!$C$9),Defaults!$C$8),MAX(0,$D$34-Defaults!$C$9)))</f>
        <v>1.2912878474779203E-2</v>
      </c>
      <c r="E36" s="4" t="s">
        <v>263</v>
      </c>
      <c r="F36" s="1" t="s">
        <v>288</v>
      </c>
    </row>
    <row r="37" spans="2:6" ht="34" x14ac:dyDescent="0.2">
      <c r="B37" s="6" t="s">
        <v>289</v>
      </c>
      <c r="C37" s="4" t="s">
        <v>290</v>
      </c>
      <c r="D37" s="20">
        <f>IF($D$21="Track 1",Defaults!$C$7,IF($D$21="Track 2",Defaults!$C$8,MAX(0,$D$35-Defaults!$C$10)))</f>
        <v>9.999999999999995E-3</v>
      </c>
      <c r="E37" s="4" t="s">
        <v>263</v>
      </c>
      <c r="F37" s="1" t="s">
        <v>291</v>
      </c>
    </row>
    <row r="38" spans="2:6" ht="30" customHeight="1" x14ac:dyDescent="0.2">
      <c r="B38" s="6" t="s">
        <v>292</v>
      </c>
      <c r="C38" s="4" t="s">
        <v>293</v>
      </c>
      <c r="D38" s="33">
        <v>0</v>
      </c>
      <c r="E38" s="4" t="s">
        <v>263</v>
      </c>
      <c r="F38" s="1" t="s">
        <v>294</v>
      </c>
    </row>
    <row r="40" spans="2:6" ht="16" x14ac:dyDescent="0.2">
      <c r="B40" s="10" t="s">
        <v>295</v>
      </c>
      <c r="C40" s="11"/>
      <c r="D40" s="11"/>
      <c r="E40" s="11"/>
      <c r="F40" s="11"/>
    </row>
    <row r="41" spans="2:6" ht="16" x14ac:dyDescent="0.2">
      <c r="B41" s="12" t="s">
        <v>215</v>
      </c>
      <c r="C41" s="12" t="s">
        <v>216</v>
      </c>
      <c r="D41" s="12" t="s">
        <v>217</v>
      </c>
      <c r="E41" s="12" t="s">
        <v>218</v>
      </c>
      <c r="F41" s="12" t="s">
        <v>219</v>
      </c>
    </row>
    <row r="42" spans="2:6" ht="30" customHeight="1" x14ac:dyDescent="0.2">
      <c r="B42" s="6" t="s">
        <v>296</v>
      </c>
      <c r="C42" s="4"/>
      <c r="D42" s="34">
        <f>'Annex 7'!K20</f>
        <v>0</v>
      </c>
      <c r="E42" s="4" t="s">
        <v>263</v>
      </c>
      <c r="F42" s="1" t="s">
        <v>297</v>
      </c>
    </row>
    <row r="43" spans="2:6" ht="30" customHeight="1" x14ac:dyDescent="0.2">
      <c r="B43" s="6" t="s">
        <v>298</v>
      </c>
      <c r="C43" s="4"/>
      <c r="D43" s="34">
        <f>'Annex 7'!K21</f>
        <v>0</v>
      </c>
      <c r="E43" s="4" t="s">
        <v>263</v>
      </c>
      <c r="F43" s="1" t="s">
        <v>299</v>
      </c>
    </row>
    <row r="44" spans="2:6" ht="30" customHeight="1" x14ac:dyDescent="0.2">
      <c r="B44" s="6" t="s">
        <v>300</v>
      </c>
      <c r="C44" s="4" t="s">
        <v>301</v>
      </c>
      <c r="D44" s="34">
        <f>'Annex 7'!K23</f>
        <v>7.4999999999999997E-2</v>
      </c>
      <c r="E44" s="4" t="s">
        <v>263</v>
      </c>
      <c r="F44" s="1" t="s">
        <v>302</v>
      </c>
    </row>
    <row r="45" spans="2:6" ht="45" customHeight="1" x14ac:dyDescent="0.2">
      <c r="B45" s="6" t="s">
        <v>303</v>
      </c>
      <c r="C45" s="4"/>
      <c r="D45" s="30" t="s">
        <v>304</v>
      </c>
      <c r="E45" s="4"/>
      <c r="F45" s="1" t="s">
        <v>305</v>
      </c>
    </row>
    <row r="46" spans="2:6" ht="45" customHeight="1" x14ac:dyDescent="0.2">
      <c r="B46" s="35" t="s">
        <v>187</v>
      </c>
      <c r="C46" s="2" t="s">
        <v>301</v>
      </c>
      <c r="D46" s="24">
        <f>IF(LEFT($D$22,2)="A2",Defaults!$C$28,IF(LEFT($D$22,2)="A3",Defaults!$C$29,IF(OR($D$21="Track 1",AND($D$21="Track 2",LEFT($D$45,12)="Cancellation")),Defaults!$C$27,$D$44)))</f>
        <v>2.5000000000000001E-2</v>
      </c>
      <c r="E46" s="2" t="s">
        <v>263</v>
      </c>
      <c r="F46" s="36" t="s">
        <v>306</v>
      </c>
    </row>
    <row r="48" spans="2:6" ht="16" x14ac:dyDescent="0.2">
      <c r="B48" s="10" t="s">
        <v>307</v>
      </c>
      <c r="C48" s="11"/>
      <c r="D48" s="11"/>
      <c r="E48" s="11"/>
      <c r="F48" s="11"/>
    </row>
    <row r="49" spans="2:6" ht="16" x14ac:dyDescent="0.2">
      <c r="B49" s="12" t="s">
        <v>215</v>
      </c>
      <c r="C49" s="12" t="s">
        <v>216</v>
      </c>
      <c r="D49" s="12" t="s">
        <v>217</v>
      </c>
      <c r="E49" s="12" t="s">
        <v>218</v>
      </c>
      <c r="F49" s="12" t="s">
        <v>219</v>
      </c>
    </row>
    <row r="50" spans="2:6" ht="17" x14ac:dyDescent="0.2">
      <c r="B50" s="6" t="s">
        <v>308</v>
      </c>
      <c r="C50" s="4"/>
      <c r="D50" s="30" t="s">
        <v>608</v>
      </c>
      <c r="E50" s="4"/>
      <c r="F50" s="1" t="s">
        <v>310</v>
      </c>
    </row>
    <row r="51" spans="2:6" ht="30" customHeight="1" x14ac:dyDescent="0.2">
      <c r="B51" s="6" t="s">
        <v>311</v>
      </c>
      <c r="C51" s="4"/>
      <c r="D51" s="30" t="s">
        <v>581</v>
      </c>
      <c r="E51" s="4"/>
      <c r="F51" s="1" t="s">
        <v>313</v>
      </c>
    </row>
    <row r="52" spans="2:6" ht="34" x14ac:dyDescent="0.2">
      <c r="B52" s="6" t="s">
        <v>314</v>
      </c>
      <c r="C52" s="4" t="s">
        <v>315</v>
      </c>
      <c r="D52" s="37">
        <f>INDEX(Defaults!$D$52:$D$57,MATCH($D$50,Defaults!$B$52:$B$57,0))</f>
        <v>0</v>
      </c>
      <c r="E52" s="4" t="s">
        <v>316</v>
      </c>
      <c r="F52" s="1" t="s">
        <v>317</v>
      </c>
    </row>
    <row r="53" spans="2:6" ht="30" customHeight="1" x14ac:dyDescent="0.2">
      <c r="B53" s="6" t="s">
        <v>318</v>
      </c>
      <c r="C53" s="4" t="s">
        <v>319</v>
      </c>
      <c r="D53" s="37">
        <f>INDEX(Defaults!$E$52:$E$57,MATCH($D$50,Defaults!$B$52:$B$57,0))</f>
        <v>0</v>
      </c>
      <c r="E53" s="4" t="s">
        <v>320</v>
      </c>
      <c r="F53" s="1" t="s">
        <v>317</v>
      </c>
    </row>
    <row r="54" spans="2:6" ht="51" x14ac:dyDescent="0.2">
      <c r="B54" s="6" t="s">
        <v>321</v>
      </c>
      <c r="C54" s="4"/>
      <c r="D54" s="30" t="s">
        <v>322</v>
      </c>
      <c r="E54" s="4"/>
      <c r="F54" s="1" t="s">
        <v>323</v>
      </c>
    </row>
    <row r="55" spans="2:6" ht="34" x14ac:dyDescent="0.2">
      <c r="B55" s="6" t="s">
        <v>324</v>
      </c>
      <c r="C55" s="4"/>
      <c r="D55" s="30" t="s">
        <v>325</v>
      </c>
      <c r="E55" s="4"/>
      <c r="F55" s="1" t="s">
        <v>326</v>
      </c>
    </row>
    <row r="56" spans="2:6" ht="51" x14ac:dyDescent="0.2">
      <c r="B56" s="6" t="s">
        <v>327</v>
      </c>
      <c r="C56" s="4"/>
      <c r="D56" s="30" t="s">
        <v>328</v>
      </c>
      <c r="E56" s="4"/>
      <c r="F56" s="1" t="s">
        <v>329</v>
      </c>
    </row>
    <row r="57" spans="2:6" ht="30" customHeight="1" x14ac:dyDescent="0.2">
      <c r="B57" s="6" t="s">
        <v>330</v>
      </c>
      <c r="C57" s="4" t="s">
        <v>331</v>
      </c>
      <c r="D57" s="38">
        <v>0</v>
      </c>
      <c r="E57" s="4" t="s">
        <v>332</v>
      </c>
      <c r="F57" s="1" t="s">
        <v>333</v>
      </c>
    </row>
    <row r="58" spans="2:6" ht="45" customHeight="1" x14ac:dyDescent="0.2">
      <c r="B58" s="6" t="s">
        <v>334</v>
      </c>
      <c r="C58" s="4"/>
      <c r="D58" s="30" t="s">
        <v>335</v>
      </c>
      <c r="E58" s="4"/>
      <c r="F58" s="1" t="s">
        <v>336</v>
      </c>
    </row>
    <row r="59" spans="2:6" ht="30" customHeight="1" x14ac:dyDescent="0.2">
      <c r="B59" s="6" t="s">
        <v>337</v>
      </c>
      <c r="C59" s="4"/>
      <c r="D59" s="33">
        <v>0.7</v>
      </c>
      <c r="E59" s="4" t="s">
        <v>263</v>
      </c>
      <c r="F59" s="1" t="s">
        <v>338</v>
      </c>
    </row>
    <row r="60" spans="2:6" ht="34" x14ac:dyDescent="0.2">
      <c r="B60" s="6" t="s">
        <v>339</v>
      </c>
      <c r="C60" s="4"/>
      <c r="D60" s="4" t="str">
        <f>IF(LEFT($D$23,2)="F1",IF($D$59&lt;Defaults!$C$45,"Below the 70% floor — residue not eligible","OK"),"n/a")</f>
        <v>n/a</v>
      </c>
      <c r="E60" s="4"/>
      <c r="F60" s="1" t="s">
        <v>340</v>
      </c>
    </row>
    <row r="61" spans="2:6" ht="68" x14ac:dyDescent="0.2">
      <c r="B61" s="6" t="s">
        <v>341</v>
      </c>
      <c r="C61" s="4"/>
      <c r="D61" s="30" t="s">
        <v>342</v>
      </c>
      <c r="E61" s="4"/>
      <c r="F61" s="1" t="s">
        <v>343</v>
      </c>
    </row>
    <row r="62" spans="2:6" ht="34" x14ac:dyDescent="0.2">
      <c r="B62" s="6" t="s">
        <v>344</v>
      </c>
      <c r="C62" s="4" t="s">
        <v>345</v>
      </c>
      <c r="D62" s="39">
        <v>0</v>
      </c>
      <c r="E62" s="4" t="s">
        <v>346</v>
      </c>
      <c r="F62" s="1" t="s">
        <v>347</v>
      </c>
    </row>
    <row r="63" spans="2:6" ht="34" x14ac:dyDescent="0.2">
      <c r="B63" s="6" t="s">
        <v>348</v>
      </c>
      <c r="C63" s="4" t="s">
        <v>349</v>
      </c>
      <c r="D63" s="40">
        <v>0</v>
      </c>
      <c r="E63" s="4" t="s">
        <v>350</v>
      </c>
      <c r="F63" s="1" t="s">
        <v>347</v>
      </c>
    </row>
    <row r="64" spans="2:6" ht="34" x14ac:dyDescent="0.2">
      <c r="B64" s="6" t="s">
        <v>351</v>
      </c>
      <c r="C64" s="4" t="s">
        <v>352</v>
      </c>
      <c r="D64" s="40">
        <v>0</v>
      </c>
      <c r="E64" s="4" t="s">
        <v>350</v>
      </c>
      <c r="F64" s="1" t="s">
        <v>347</v>
      </c>
    </row>
    <row r="65" spans="2:6" ht="17" x14ac:dyDescent="0.2">
      <c r="B65" s="6" t="s">
        <v>353</v>
      </c>
      <c r="C65" s="4" t="s">
        <v>345</v>
      </c>
      <c r="D65" s="41">
        <f>IF(LEFT($D$61,8)="Measured",$D$62,IF(RIGHT($D$61,6)="stover",Defaults!$C$34,IF(RIGHT($D$61,8)="residues",Defaults!$C$37,Defaults!$C$40)))</f>
        <v>8.0000000000000002E-3</v>
      </c>
      <c r="E65" s="4" t="s">
        <v>346</v>
      </c>
      <c r="F65" s="1" t="s">
        <v>154</v>
      </c>
    </row>
    <row r="66" spans="2:6" ht="17" x14ac:dyDescent="0.2">
      <c r="B66" s="6" t="s">
        <v>354</v>
      </c>
      <c r="C66" s="4" t="s">
        <v>349</v>
      </c>
      <c r="D66" s="42">
        <f>IF(LEFT($D$61,8)="Measured",$D$63,IF(RIGHT($D$61,6)="stover",Defaults!$C$35,IF(RIGHT($D$61,8)="residues",Defaults!$C$38,Defaults!$C$41)))</f>
        <v>3.0000000000000001E-3</v>
      </c>
      <c r="E66" s="4" t="s">
        <v>350</v>
      </c>
      <c r="F66" s="1" t="s">
        <v>154</v>
      </c>
    </row>
    <row r="67" spans="2:6" ht="17" x14ac:dyDescent="0.2">
      <c r="B67" s="6" t="s">
        <v>355</v>
      </c>
      <c r="C67" s="4" t="s">
        <v>352</v>
      </c>
      <c r="D67" s="42">
        <f>IF(LEFT($D$61,8)="Measured",$D$64,IF(RIGHT($D$61,6)="stover",Defaults!$C$36,IF(RIGHT($D$61,8)="residues",Defaults!$C$39,Defaults!$C$42)))</f>
        <v>1.4999999999999999E-2</v>
      </c>
      <c r="E67" s="4" t="s">
        <v>350</v>
      </c>
      <c r="F67" s="1" t="s">
        <v>154</v>
      </c>
    </row>
    <row r="68" spans="2:6" ht="30" customHeight="1" x14ac:dyDescent="0.2">
      <c r="B68" s="6" t="s">
        <v>356</v>
      </c>
      <c r="C68" s="4"/>
      <c r="D68" s="33">
        <v>0</v>
      </c>
      <c r="E68" s="4" t="s">
        <v>263</v>
      </c>
      <c r="F68" s="1" t="s">
        <v>357</v>
      </c>
    </row>
    <row r="69" spans="2:6" ht="45" customHeight="1" x14ac:dyDescent="0.2">
      <c r="B69" s="6" t="s">
        <v>358</v>
      </c>
      <c r="C69" s="4"/>
      <c r="D69" s="30" t="s">
        <v>609</v>
      </c>
      <c r="E69" s="4"/>
      <c r="F69" s="1" t="s">
        <v>360</v>
      </c>
    </row>
    <row r="70" spans="2:6" ht="17" x14ac:dyDescent="0.2">
      <c r="B70" s="6" t="s">
        <v>361</v>
      </c>
      <c r="C70" s="4" t="s">
        <v>362</v>
      </c>
      <c r="D70" s="38">
        <v>0.45</v>
      </c>
      <c r="E70" s="4" t="s">
        <v>363</v>
      </c>
      <c r="F70" s="1" t="s">
        <v>137</v>
      </c>
    </row>
    <row r="72" spans="2:6" ht="16" x14ac:dyDescent="0.2">
      <c r="B72" s="10" t="s">
        <v>364</v>
      </c>
      <c r="C72" s="11"/>
      <c r="D72" s="11"/>
      <c r="E72" s="11"/>
      <c r="F72" s="11"/>
    </row>
    <row r="73" spans="2:6" ht="16" x14ac:dyDescent="0.2">
      <c r="B73" s="12" t="s">
        <v>215</v>
      </c>
      <c r="C73" s="12" t="s">
        <v>216</v>
      </c>
      <c r="D73" s="12" t="s">
        <v>217</v>
      </c>
      <c r="E73" s="12" t="s">
        <v>218</v>
      </c>
      <c r="F73" s="12" t="s">
        <v>219</v>
      </c>
    </row>
    <row r="74" spans="2:6" ht="45" customHeight="1" x14ac:dyDescent="0.2">
      <c r="B74" s="6" t="s">
        <v>365</v>
      </c>
      <c r="C74" s="4"/>
      <c r="D74" s="30" t="s">
        <v>572</v>
      </c>
      <c r="E74" s="4"/>
      <c r="F74" s="1" t="s">
        <v>367</v>
      </c>
    </row>
    <row r="75" spans="2:6" ht="30" customHeight="1" x14ac:dyDescent="0.2">
      <c r="B75" s="6" t="s">
        <v>368</v>
      </c>
      <c r="C75" s="4" t="s">
        <v>369</v>
      </c>
      <c r="D75" s="32">
        <v>0.05</v>
      </c>
      <c r="E75" s="4" t="s">
        <v>263</v>
      </c>
      <c r="F75" s="1" t="s">
        <v>370</v>
      </c>
    </row>
    <row r="76" spans="2:6" ht="17" x14ac:dyDescent="0.2">
      <c r="B76" s="6" t="s">
        <v>371</v>
      </c>
      <c r="C76" s="4" t="s">
        <v>369</v>
      </c>
      <c r="D76" s="20">
        <f>IF($D$74="Measured",$D$75,Defaults!$C$23)</f>
        <v>0.05</v>
      </c>
      <c r="E76" s="4" t="s">
        <v>263</v>
      </c>
      <c r="F76" s="1" t="s">
        <v>124</v>
      </c>
    </row>
    <row r="77" spans="2:6" ht="17" x14ac:dyDescent="0.2">
      <c r="B77" s="6" t="s">
        <v>372</v>
      </c>
      <c r="C77" s="4"/>
      <c r="D77" s="30" t="s">
        <v>573</v>
      </c>
      <c r="E77" s="4"/>
      <c r="F77" s="1" t="s">
        <v>374</v>
      </c>
    </row>
    <row r="78" spans="2:6" ht="30" customHeight="1" x14ac:dyDescent="0.2">
      <c r="B78" s="6" t="s">
        <v>375</v>
      </c>
      <c r="C78" s="4" t="s">
        <v>376</v>
      </c>
      <c r="D78" s="39">
        <v>0.34</v>
      </c>
      <c r="E78" s="4" t="s">
        <v>363</v>
      </c>
      <c r="F78" s="1" t="s">
        <v>377</v>
      </c>
    </row>
    <row r="79" spans="2:6" ht="34" x14ac:dyDescent="0.2">
      <c r="B79" s="6" t="s">
        <v>378</v>
      </c>
      <c r="C79" s="4" t="s">
        <v>376</v>
      </c>
      <c r="D79" s="37">
        <f>INDEX(Defaults!$C$52:$C$57,MATCH($D$50,Defaults!$B$52:$B$57,0))</f>
        <v>0.25</v>
      </c>
      <c r="E79" s="4" t="s">
        <v>363</v>
      </c>
      <c r="F79" s="1" t="s">
        <v>379</v>
      </c>
    </row>
    <row r="80" spans="2:6" ht="17" x14ac:dyDescent="0.2">
      <c r="B80" s="6" t="s">
        <v>181</v>
      </c>
      <c r="C80" s="4" t="s">
        <v>376</v>
      </c>
      <c r="D80" s="16">
        <f>IF($D$77="Default (Table 21)",$D$79,$D$78)</f>
        <v>0.34</v>
      </c>
      <c r="E80" s="4" t="s">
        <v>363</v>
      </c>
      <c r="F80" s="1" t="s">
        <v>374</v>
      </c>
    </row>
    <row r="81" spans="2:6" ht="30" customHeight="1" x14ac:dyDescent="0.2">
      <c r="B81" s="6" t="s">
        <v>380</v>
      </c>
      <c r="C81" s="4" t="s">
        <v>381</v>
      </c>
      <c r="D81" s="38">
        <v>0.45</v>
      </c>
      <c r="E81" s="4" t="s">
        <v>382</v>
      </c>
      <c r="F81" s="1" t="s">
        <v>383</v>
      </c>
    </row>
    <row r="82" spans="2:6" ht="17" x14ac:dyDescent="0.2">
      <c r="B82" s="6" t="s">
        <v>384</v>
      </c>
      <c r="C82" s="4" t="s">
        <v>381</v>
      </c>
      <c r="D82" s="17">
        <f>IF(ISNUMBER($D$81),$D$81,Defaults!$C$17)</f>
        <v>0.45</v>
      </c>
      <c r="E82" s="4" t="s">
        <v>382</v>
      </c>
      <c r="F82" s="1" t="s">
        <v>130</v>
      </c>
    </row>
    <row r="83" spans="2:6" ht="17" x14ac:dyDescent="0.2">
      <c r="B83" s="6" t="s">
        <v>385</v>
      </c>
      <c r="C83" s="4"/>
      <c r="D83" s="4" t="str">
        <f>IF(LEFT($D$84,8)="Method 3","Not applicable (Method 3)",IF($D$82&gt;Defaults!$C$18,"Not creditable under Method 1 (H:Corg above 0.50)",IF(AND($D$21="Track 1",$D$82&gt;Defaults!$C$17),"Track 1 default-route limit 0.40 exceeded — test the batch","Eligible")))</f>
        <v>Not applicable (Method 3)</v>
      </c>
      <c r="E83" s="4"/>
      <c r="F83" s="1" t="s">
        <v>240</v>
      </c>
    </row>
    <row r="84" spans="2:6" ht="17" x14ac:dyDescent="0.2">
      <c r="B84" s="6" t="s">
        <v>386</v>
      </c>
      <c r="C84" s="4"/>
      <c r="D84" s="30" t="s">
        <v>601</v>
      </c>
      <c r="E84" s="4"/>
      <c r="F84" s="1" t="s">
        <v>130</v>
      </c>
    </row>
    <row r="85" spans="2:6" ht="17" x14ac:dyDescent="0.2">
      <c r="B85" s="6" t="s">
        <v>388</v>
      </c>
      <c r="C85" s="4"/>
      <c r="D85" s="17">
        <f>ROUND(MIN(0.5,MAX(0.2,CEILING($D$82,0.05))),2)</f>
        <v>0.45</v>
      </c>
      <c r="E85" s="4" t="s">
        <v>382</v>
      </c>
      <c r="F85" s="1" t="s">
        <v>389</v>
      </c>
    </row>
    <row r="86" spans="2:6" ht="30" customHeight="1" x14ac:dyDescent="0.2">
      <c r="B86" s="6" t="s">
        <v>390</v>
      </c>
      <c r="C86" s="4" t="s">
        <v>391</v>
      </c>
      <c r="D86" s="41">
        <f>INDEX(Defaults!$C$121:$I$154,MATCH($D$27,Defaults!$B$121:$B$154,0),MATCH($D$85,Defaults!$C$120:$I$120,0))</f>
        <v>0.71399999999999997</v>
      </c>
      <c r="E86" s="4" t="s">
        <v>263</v>
      </c>
      <c r="F86" s="1" t="s">
        <v>392</v>
      </c>
    </row>
    <row r="87" spans="2:6" ht="30" customHeight="1" x14ac:dyDescent="0.2">
      <c r="B87" s="6" t="s">
        <v>393</v>
      </c>
      <c r="C87" s="4" t="s">
        <v>391</v>
      </c>
      <c r="D87" s="39">
        <v>0</v>
      </c>
      <c r="E87" s="4" t="s">
        <v>263</v>
      </c>
      <c r="F87" s="1" t="s">
        <v>394</v>
      </c>
    </row>
    <row r="88" spans="2:6" ht="17" x14ac:dyDescent="0.2">
      <c r="B88" s="35" t="s">
        <v>184</v>
      </c>
      <c r="C88" s="2" t="s">
        <v>391</v>
      </c>
      <c r="D88" s="43">
        <f>IF(LEFT($D$84,8)="Method 3",Defaults!$C$12,IF(LEFT($D$84,8)="Method 2",MIN(Defaults!$C$13,$D$87),IF($D$82&gt;Defaults!$C$18,0,$D$86)))</f>
        <v>0.95</v>
      </c>
      <c r="E88" s="2" t="s">
        <v>263</v>
      </c>
      <c r="F88" s="36" t="s">
        <v>130</v>
      </c>
    </row>
    <row r="89" spans="2:6" ht="51" x14ac:dyDescent="0.2">
      <c r="B89" s="6" t="s">
        <v>395</v>
      </c>
      <c r="C89" s="4"/>
      <c r="D89" s="30" t="s">
        <v>610</v>
      </c>
      <c r="E89" s="4"/>
      <c r="F89" s="1" t="s">
        <v>397</v>
      </c>
    </row>
    <row r="90" spans="2:6" ht="30" customHeight="1" x14ac:dyDescent="0.2">
      <c r="B90" s="6" t="s">
        <v>398</v>
      </c>
      <c r="C90" s="4"/>
      <c r="D90" s="30" t="s">
        <v>325</v>
      </c>
      <c r="E90" s="4"/>
      <c r="F90" s="1" t="s">
        <v>399</v>
      </c>
    </row>
    <row r="91" spans="2:6" ht="51" x14ac:dyDescent="0.2">
      <c r="B91" s="6" t="s">
        <v>185</v>
      </c>
      <c r="C91" s="4" t="s">
        <v>400</v>
      </c>
      <c r="D91" s="19">
        <f>IF($D$90="Yes",0,INDEX(Defaults!$C$67:$C$70,MATCH($D$89,Defaults!$B$67:$B$70,0)))</f>
        <v>0</v>
      </c>
      <c r="E91" s="4" t="s">
        <v>263</v>
      </c>
      <c r="F91" s="1" t="s">
        <v>397</v>
      </c>
    </row>
    <row r="92" spans="2:6" ht="17" x14ac:dyDescent="0.2">
      <c r="B92" s="6" t="s">
        <v>401</v>
      </c>
      <c r="C92" s="4"/>
      <c r="D92" s="44">
        <v>5</v>
      </c>
      <c r="E92" s="4" t="s">
        <v>402</v>
      </c>
      <c r="F92" s="1" t="s">
        <v>403</v>
      </c>
    </row>
    <row r="93" spans="2:6" ht="17" x14ac:dyDescent="0.2">
      <c r="B93" s="6" t="s">
        <v>404</v>
      </c>
      <c r="C93" s="4"/>
      <c r="D93" s="4" t="str">
        <f>IF(LEFT($D$22,2)="A1",IF($D$92&gt;Defaults!$C$48,"Above the 50 t/ha cap","OK"),"n/a")</f>
        <v>n/a</v>
      </c>
      <c r="E93" s="4"/>
      <c r="F93" s="1" t="s">
        <v>403</v>
      </c>
    </row>
    <row r="95" spans="2:6" ht="16" x14ac:dyDescent="0.2">
      <c r="B95" s="10" t="s">
        <v>405</v>
      </c>
      <c r="C95" s="11"/>
      <c r="D95" s="11"/>
      <c r="E95" s="11"/>
      <c r="F95" s="11"/>
    </row>
    <row r="96" spans="2:6" ht="16" x14ac:dyDescent="0.2">
      <c r="B96" s="12" t="s">
        <v>215</v>
      </c>
      <c r="C96" s="12" t="s">
        <v>216</v>
      </c>
      <c r="D96" s="12" t="s">
        <v>217</v>
      </c>
      <c r="E96" s="12" t="s">
        <v>218</v>
      </c>
      <c r="F96" s="12" t="s">
        <v>219</v>
      </c>
    </row>
    <row r="97" spans="2:19" ht="17" x14ac:dyDescent="0.2">
      <c r="B97" s="6" t="s">
        <v>406</v>
      </c>
      <c r="C97" s="4"/>
      <c r="D97" s="30" t="s">
        <v>590</v>
      </c>
      <c r="E97" s="4"/>
      <c r="F97" s="1" t="s">
        <v>142</v>
      </c>
    </row>
    <row r="98" spans="2:19" ht="34" x14ac:dyDescent="0.2">
      <c r="B98" s="6" t="s">
        <v>408</v>
      </c>
      <c r="C98" s="4" t="s">
        <v>409</v>
      </c>
      <c r="D98" s="42">
        <f>INDEX(Defaults!$C$61:$C$63,MATCH($D$54,Defaults!$B$61:$B$63,0))</f>
        <v>5.4999999999999997E-3</v>
      </c>
      <c r="E98" s="4" t="s">
        <v>410</v>
      </c>
      <c r="F98" s="1" t="s">
        <v>411</v>
      </c>
    </row>
    <row r="99" spans="2:19" ht="30" customHeight="1" x14ac:dyDescent="0.2">
      <c r="B99" s="6" t="s">
        <v>412</v>
      </c>
      <c r="C99" s="4" t="s">
        <v>409</v>
      </c>
      <c r="D99" s="40">
        <v>0</v>
      </c>
      <c r="E99" s="4" t="s">
        <v>410</v>
      </c>
      <c r="F99" s="1" t="s">
        <v>413</v>
      </c>
    </row>
    <row r="100" spans="2:19" ht="30" customHeight="1" x14ac:dyDescent="0.2">
      <c r="B100" s="6" t="s">
        <v>414</v>
      </c>
      <c r="C100" s="4" t="s">
        <v>409</v>
      </c>
      <c r="D100" s="45">
        <f>MAX($D$99,IF($D$98&gt;0,$D$98,Defaults!$C$26))</f>
        <v>5.4999999999999997E-3</v>
      </c>
      <c r="E100" s="4" t="s">
        <v>410</v>
      </c>
      <c r="F100" s="1" t="s">
        <v>413</v>
      </c>
    </row>
    <row r="101" spans="2:19" ht="30" customHeight="1" x14ac:dyDescent="0.2">
      <c r="B101" s="6" t="s">
        <v>415</v>
      </c>
      <c r="C101" s="4" t="s">
        <v>416</v>
      </c>
      <c r="D101" s="46">
        <v>2.6800000000000001E-3</v>
      </c>
      <c r="E101" s="4" t="s">
        <v>417</v>
      </c>
      <c r="F101" s="1" t="s">
        <v>418</v>
      </c>
    </row>
    <row r="102" spans="2:19" ht="30" customHeight="1" x14ac:dyDescent="0.2">
      <c r="B102" s="6" t="s">
        <v>419</v>
      </c>
      <c r="C102" s="4" t="s">
        <v>420</v>
      </c>
      <c r="D102" s="39">
        <v>0.5</v>
      </c>
      <c r="E102" s="4" t="s">
        <v>421</v>
      </c>
      <c r="F102" s="1" t="s">
        <v>422</v>
      </c>
    </row>
    <row r="103" spans="2:19" ht="45" customHeight="1" x14ac:dyDescent="0.2">
      <c r="B103" s="6" t="s">
        <v>423</v>
      </c>
      <c r="C103" s="4" t="s">
        <v>424</v>
      </c>
      <c r="D103" s="46">
        <v>1.2E-4</v>
      </c>
      <c r="E103" s="4" t="s">
        <v>425</v>
      </c>
      <c r="F103" s="1" t="s">
        <v>426</v>
      </c>
    </row>
    <row r="104" spans="2:19" ht="45" customHeight="1" x14ac:dyDescent="0.2">
      <c r="B104" s="6" t="s">
        <v>427</v>
      </c>
      <c r="C104" s="4"/>
      <c r="D104" s="30" t="s">
        <v>428</v>
      </c>
      <c r="E104" s="4"/>
      <c r="F104" s="1" t="s">
        <v>429</v>
      </c>
    </row>
    <row r="106" spans="2:19" ht="16" x14ac:dyDescent="0.2">
      <c r="B106" s="10" t="s">
        <v>430</v>
      </c>
      <c r="C106" s="11"/>
      <c r="D106" s="11"/>
      <c r="E106" s="11"/>
      <c r="F106" s="11"/>
    </row>
    <row r="107" spans="2:19" ht="16" x14ac:dyDescent="0.2">
      <c r="B107" s="12" t="s">
        <v>215</v>
      </c>
      <c r="C107" s="12" t="s">
        <v>216</v>
      </c>
      <c r="D107" s="12" t="s">
        <v>217</v>
      </c>
      <c r="E107" s="12" t="s">
        <v>218</v>
      </c>
      <c r="F107" s="12" t="s">
        <v>219</v>
      </c>
    </row>
    <row r="108" spans="2:19" ht="45" customHeight="1" x14ac:dyDescent="0.2">
      <c r="B108" s="6" t="s">
        <v>431</v>
      </c>
      <c r="C108" s="4" t="s">
        <v>432</v>
      </c>
      <c r="D108" s="47">
        <v>900</v>
      </c>
      <c r="E108" s="4" t="s">
        <v>433</v>
      </c>
      <c r="F108" s="1" t="s">
        <v>434</v>
      </c>
    </row>
    <row r="109" spans="2:19" ht="34" x14ac:dyDescent="0.2">
      <c r="B109" s="6" t="s">
        <v>435</v>
      </c>
      <c r="C109" s="4"/>
      <c r="D109" s="4" t="str">
        <f>IF($D$21="Track 3","Option B (inventory)",IF($D$108&gt;0,"Option B (inventory)","Option A (default per tonne)"))</f>
        <v>Option B (inventory)</v>
      </c>
      <c r="E109" s="4"/>
      <c r="F109" s="1" t="s">
        <v>436</v>
      </c>
    </row>
    <row r="110" spans="2:19" ht="30" customHeight="1" x14ac:dyDescent="0.2">
      <c r="B110" s="6" t="s">
        <v>437</v>
      </c>
      <c r="C110" s="4"/>
      <c r="D110" s="4" t="str">
        <f>IF((IF(AND($D$21="Track 1",LEFT($D$22,2)&lt;&gt;"A1"),"Modules A2 and A3 are not available under Track 1 (Annex 3, Table 19). ","")&amp;IF(AND($D$21&lt;&gt;"Track 3",OR(LEFT($D$23,2)="F5",LEFT($D$23,2)="F6")),"Modules F5 and F6 are restricted to Track 3 (Annex 1). ","")&amp;IF(AND($D$21&lt;&gt;"Track 1",LEFT($D$84,8)="Method 1",NOT(ISNUMBER($D$26))),"Tracks 2 and 3 enter the gridded-dataset soil temperature (Section 8.5). ","")&amp;IF(AND($D$21="Track 3",$D$77="Default (Table 21)"),"Track 3 measures organic carbon (Section 8.4). ","")&amp;IF(AND($D$21&lt;&gt;"Track 1",LEFT($D$74,7)="Default"),"The biochar moisture default is restricted to Track 1 (PARC 8). ","")&amp;IF(AND($D$21&lt;&gt;"Track 1",LEFT($D$51,5)="Yield"),"The yield default is restricted to Track 1 (PARC 3). ","")&amp;IF(AND(LEFT($D$23,2)="F1",LEFT($D$51,5)="Yield"),"Module F1 residue is weighed at collection (Section 8.3). ","")&amp;IF(AND($D$21="Track 3",LEFT($D$104,5)="Small"),"The small-hub default is available to Tracks 1 and 2 only (Section 9.3). ","")&amp;IF(AND($D$21&lt;&gt;"Track 1",LEFT($D$97,6)="Option"),"Methane Options A and B are Track 1 routes (Section 9.4). ","")&amp;IF(AND($D$21="Track 3",LEFT($D$97,7)="Track 2"),"Track 3 measures methane continuously (Section 9.4). ","")&amp;IF(AND(LEFT($D$97,8)="Option A",LEFT($D$54,5)="Moist"),"Feedstock above 24% moisture is not creditable; dry before charging (Section 9.4). ","")&amp;IF(AND(LEFT($D$22,2)="A1",LEFT($D$84,8)="Method 3"),"Method 3 applies to Modules A2 and A3 only (Section 8.5). ","")&amp;IF(AND(LEFT($D$22,2)&lt;&gt;"A1",LEFT($D$84,8)&lt;&gt;"Method 3"),"Modules A2 and A3 apply Method 3 (Section 8.5). ","")&amp;IF(AND($D$21="Track 1",LEFT($D$84,8)="Method 2"),"Method 2 is available to Tracks 2 and 3 only (Section 8.5). ",""))="","OK",TRIM(IF(AND($D$21="Track 1",LEFT($D$22,2)&lt;&gt;"A1"),"Modules A2 and A3 are not available under Track 1 (Annex 3, Table 19). ","")&amp;IF(AND($D$21&lt;&gt;"Track 3",OR(LEFT($D$23,2)="F5",LEFT($D$23,2)="F6")),"Modules F5 and F6 are restricted to Track 3 (Annex 1). ","")&amp;IF(AND($D$21&lt;&gt;"Track 1",LEFT($D$84,8)="Method 1",NOT(ISNUMBER($D$26))),"Tracks 2 and 3 enter the gridded-dataset soil temperature (Section 8.5). ","")&amp;IF(AND($D$21="Track 3",$D$77="Default (Table 21)"),"Track 3 measures organic carbon (Section 8.4). ","")&amp;IF(AND($D$21&lt;&gt;"Track 1",LEFT($D$74,7)="Default"),"The biochar moisture default is restricted to Track 1 (PARC 8). ","")&amp;IF(AND($D$21&lt;&gt;"Track 1",LEFT($D$51,5)="Yield"),"The yield default is restricted to Track 1 (PARC 3). ","")&amp;IF(AND(LEFT($D$23,2)="F1",LEFT($D$51,5)="Yield"),"Module F1 residue is weighed at collection (Section 8.3). ","")&amp;IF(AND($D$21="Track 3",LEFT($D$104,5)="Small"),"The small-hub default is available to Tracks 1 and 2 only (Section 9.3). ","")&amp;IF(AND($D$21&lt;&gt;"Track 1",LEFT($D$97,6)="Option"),"Methane Options A and B are Track 1 routes (Section 9.4). ","")&amp;IF(AND($D$21="Track 3",LEFT($D$97,7)="Track 2"),"Track 3 measures methane continuously (Section 9.4). ","")&amp;IF(AND(LEFT($D$97,8)="Option A",LEFT($D$54,5)="Moist"),"Feedstock above 24% moisture is not creditable; dry before charging (Section 9.4). ","")&amp;IF(AND(LEFT($D$22,2)="A1",LEFT($D$84,8)="Method 3"),"Method 3 applies to Modules A2 and A3 only (Section 8.5). ","")&amp;IF(AND(LEFT($D$22,2)&lt;&gt;"A1",LEFT($D$84,8)&lt;&gt;"Method 3"),"Modules A2 and A3 apply Method 3 (Section 8.5). ","")&amp;IF(AND($D$21="Track 1",LEFT($D$84,8)="Method 2"),"Method 2 is available to Tracks 2 and 3 only (Section 8.5). ","")))</f>
        <v>OK</v>
      </c>
      <c r="E110" s="4"/>
      <c r="F110" s="1" t="s">
        <v>438</v>
      </c>
    </row>
    <row r="112" spans="2:19" ht="16" x14ac:dyDescent="0.2">
      <c r="B112" s="10" t="s">
        <v>439</v>
      </c>
      <c r="C112" s="11"/>
      <c r="D112" s="11"/>
      <c r="E112" s="11"/>
      <c r="F112" s="11"/>
      <c r="G112" s="11"/>
      <c r="H112" s="11"/>
      <c r="I112" s="11"/>
      <c r="J112" s="11"/>
      <c r="K112" s="11"/>
      <c r="L112" s="11"/>
      <c r="M112" s="11"/>
      <c r="N112" s="11"/>
      <c r="R112" s="11"/>
      <c r="S112" s="11"/>
    </row>
    <row r="113" spans="2:19" ht="16" x14ac:dyDescent="0.2">
      <c r="B113" s="12" t="s">
        <v>440</v>
      </c>
      <c r="C113" s="12" t="s">
        <v>216</v>
      </c>
      <c r="D113" s="48" t="s">
        <v>441</v>
      </c>
      <c r="E113" s="48" t="s">
        <v>442</v>
      </c>
      <c r="F113" s="48" t="s">
        <v>443</v>
      </c>
      <c r="G113" s="48" t="s">
        <v>444</v>
      </c>
      <c r="H113" s="48" t="s">
        <v>445</v>
      </c>
      <c r="I113" s="48" t="s">
        <v>446</v>
      </c>
      <c r="J113" s="48" t="s">
        <v>447</v>
      </c>
      <c r="K113" s="48" t="s">
        <v>448</v>
      </c>
      <c r="L113" s="48" t="s">
        <v>449</v>
      </c>
      <c r="M113" s="48" t="s">
        <v>450</v>
      </c>
      <c r="N113" s="48" t="s">
        <v>451</v>
      </c>
      <c r="R113" s="12" t="s">
        <v>218</v>
      </c>
      <c r="S113" s="12" t="s">
        <v>452</v>
      </c>
    </row>
    <row r="114" spans="2:19" ht="16" x14ac:dyDescent="0.2">
      <c r="B114" s="49" t="s">
        <v>453</v>
      </c>
    </row>
    <row r="115" spans="2:19" ht="17" x14ac:dyDescent="0.2">
      <c r="B115" s="6" t="s">
        <v>454</v>
      </c>
      <c r="C115" s="4"/>
      <c r="D115" s="50">
        <v>1</v>
      </c>
      <c r="E115" s="50">
        <v>1</v>
      </c>
      <c r="F115" s="50">
        <v>1</v>
      </c>
      <c r="G115" s="50">
        <v>1</v>
      </c>
      <c r="H115" s="50">
        <v>1</v>
      </c>
      <c r="I115" s="50">
        <v>1</v>
      </c>
      <c r="J115" s="50">
        <v>1</v>
      </c>
      <c r="K115" s="50">
        <v>1</v>
      </c>
      <c r="L115" s="50">
        <v>1</v>
      </c>
      <c r="M115" s="50">
        <v>1</v>
      </c>
      <c r="N115" s="51">
        <f>SUM(D115:M115)</f>
        <v>10</v>
      </c>
      <c r="R115" s="4"/>
      <c r="S115" s="9"/>
    </row>
    <row r="116" spans="2:19" ht="17" x14ac:dyDescent="0.2">
      <c r="B116" s="6" t="s">
        <v>455</v>
      </c>
      <c r="C116" s="4" t="s">
        <v>456</v>
      </c>
      <c r="D116" s="47">
        <v>8400</v>
      </c>
      <c r="E116" s="47">
        <v>8400</v>
      </c>
      <c r="F116" s="47">
        <v>8400</v>
      </c>
      <c r="G116" s="47">
        <v>8400</v>
      </c>
      <c r="H116" s="47">
        <v>8400</v>
      </c>
      <c r="I116" s="47">
        <v>8400</v>
      </c>
      <c r="J116" s="47">
        <v>8400</v>
      </c>
      <c r="K116" s="47">
        <v>8400</v>
      </c>
      <c r="L116" s="47">
        <v>8400</v>
      </c>
      <c r="M116" s="47">
        <v>8400</v>
      </c>
      <c r="N116" s="52">
        <f>SUM(D116:M116)</f>
        <v>84000</v>
      </c>
      <c r="R116" s="4" t="s">
        <v>457</v>
      </c>
      <c r="S116" s="9" t="s">
        <v>458</v>
      </c>
    </row>
    <row r="117" spans="2:19" ht="17" x14ac:dyDescent="0.2">
      <c r="B117" s="6" t="s">
        <v>459</v>
      </c>
      <c r="C117" s="4" t="s">
        <v>460</v>
      </c>
      <c r="D117" s="47">
        <v>16000</v>
      </c>
      <c r="E117" s="47">
        <v>16000</v>
      </c>
      <c r="F117" s="47">
        <v>16000</v>
      </c>
      <c r="G117" s="47">
        <v>16000</v>
      </c>
      <c r="H117" s="47">
        <v>16000</v>
      </c>
      <c r="I117" s="47">
        <v>16000</v>
      </c>
      <c r="J117" s="47">
        <v>16000</v>
      </c>
      <c r="K117" s="47">
        <v>16000</v>
      </c>
      <c r="L117" s="47">
        <v>16000</v>
      </c>
      <c r="M117" s="47">
        <v>16000</v>
      </c>
      <c r="N117" s="52">
        <f>SUM(D117:M117)</f>
        <v>160000</v>
      </c>
      <c r="R117" s="4" t="s">
        <v>226</v>
      </c>
      <c r="S117" s="9" t="s">
        <v>458</v>
      </c>
    </row>
    <row r="118" spans="2:19" ht="30" customHeight="1" x14ac:dyDescent="0.2">
      <c r="B118" s="6" t="s">
        <v>461</v>
      </c>
      <c r="C118" s="4" t="s">
        <v>462</v>
      </c>
      <c r="D118" s="44">
        <v>0</v>
      </c>
      <c r="E118" s="44">
        <v>0</v>
      </c>
      <c r="F118" s="44">
        <v>0</v>
      </c>
      <c r="G118" s="44">
        <v>0</v>
      </c>
      <c r="H118" s="44">
        <v>0</v>
      </c>
      <c r="I118" s="44">
        <v>0</v>
      </c>
      <c r="J118" s="44">
        <v>0</v>
      </c>
      <c r="K118" s="44">
        <v>0</v>
      </c>
      <c r="L118" s="44">
        <v>0</v>
      </c>
      <c r="M118" s="44">
        <v>0</v>
      </c>
      <c r="R118" s="4" t="s">
        <v>463</v>
      </c>
      <c r="S118" s="9" t="s">
        <v>464</v>
      </c>
    </row>
    <row r="119" spans="2:19" ht="17" x14ac:dyDescent="0.2">
      <c r="B119" s="6" t="s">
        <v>465</v>
      </c>
      <c r="C119" s="4" t="s">
        <v>466</v>
      </c>
      <c r="D119" s="47">
        <v>180</v>
      </c>
      <c r="E119" s="47">
        <v>180</v>
      </c>
      <c r="F119" s="47">
        <v>180</v>
      </c>
      <c r="G119" s="47">
        <v>180</v>
      </c>
      <c r="H119" s="47">
        <v>180</v>
      </c>
      <c r="I119" s="47">
        <v>180</v>
      </c>
      <c r="J119" s="47">
        <v>180</v>
      </c>
      <c r="K119" s="47">
        <v>180</v>
      </c>
      <c r="L119" s="47">
        <v>180</v>
      </c>
      <c r="M119" s="47">
        <v>180</v>
      </c>
      <c r="N119" s="52">
        <f t="shared" ref="N119:N130" si="0">SUM(D119:M119)</f>
        <v>1800</v>
      </c>
      <c r="R119" s="4" t="s">
        <v>221</v>
      </c>
      <c r="S119" s="9" t="s">
        <v>137</v>
      </c>
    </row>
    <row r="120" spans="2:19" ht="30" customHeight="1" x14ac:dyDescent="0.2">
      <c r="B120" s="6" t="s">
        <v>467</v>
      </c>
      <c r="C120" s="4" t="s">
        <v>468</v>
      </c>
      <c r="D120" s="53">
        <v>0</v>
      </c>
      <c r="E120" s="53">
        <v>0</v>
      </c>
      <c r="F120" s="53">
        <v>0</v>
      </c>
      <c r="G120" s="53">
        <v>0</v>
      </c>
      <c r="H120" s="53">
        <v>0</v>
      </c>
      <c r="I120" s="53">
        <v>0</v>
      </c>
      <c r="J120" s="53">
        <v>0</v>
      </c>
      <c r="K120" s="53">
        <v>0</v>
      </c>
      <c r="L120" s="53">
        <v>0</v>
      </c>
      <c r="M120" s="53">
        <v>0</v>
      </c>
      <c r="N120" s="54">
        <f t="shared" si="0"/>
        <v>0</v>
      </c>
      <c r="R120" s="4" t="s">
        <v>226</v>
      </c>
      <c r="S120" s="9" t="s">
        <v>469</v>
      </c>
    </row>
    <row r="121" spans="2:19" ht="17" x14ac:dyDescent="0.2">
      <c r="B121" s="6" t="s">
        <v>470</v>
      </c>
      <c r="C121" s="4" t="s">
        <v>471</v>
      </c>
      <c r="D121" s="38">
        <v>6</v>
      </c>
      <c r="E121" s="38">
        <v>6</v>
      </c>
      <c r="F121" s="38">
        <v>6</v>
      </c>
      <c r="G121" s="38">
        <v>6</v>
      </c>
      <c r="H121" s="38">
        <v>6</v>
      </c>
      <c r="I121" s="38">
        <v>6</v>
      </c>
      <c r="J121" s="38">
        <v>6</v>
      </c>
      <c r="K121" s="38">
        <v>6</v>
      </c>
      <c r="L121" s="38">
        <v>6</v>
      </c>
      <c r="M121" s="38">
        <v>6</v>
      </c>
      <c r="N121" s="55">
        <f t="shared" si="0"/>
        <v>60</v>
      </c>
      <c r="R121" s="4" t="s">
        <v>472</v>
      </c>
      <c r="S121" s="9" t="s">
        <v>473</v>
      </c>
    </row>
    <row r="122" spans="2:19" ht="17" x14ac:dyDescent="0.2">
      <c r="B122" s="6" t="s">
        <v>474</v>
      </c>
      <c r="C122" s="4" t="s">
        <v>475</v>
      </c>
      <c r="D122" s="47">
        <v>0</v>
      </c>
      <c r="E122" s="47">
        <v>0</v>
      </c>
      <c r="F122" s="47">
        <v>0</v>
      </c>
      <c r="G122" s="47">
        <v>0</v>
      </c>
      <c r="H122" s="47">
        <v>0</v>
      </c>
      <c r="I122" s="47">
        <v>0</v>
      </c>
      <c r="J122" s="47">
        <v>0</v>
      </c>
      <c r="K122" s="47">
        <v>0</v>
      </c>
      <c r="L122" s="47">
        <v>0</v>
      </c>
      <c r="M122" s="47">
        <v>0</v>
      </c>
      <c r="N122" s="52">
        <f t="shared" si="0"/>
        <v>0</v>
      </c>
      <c r="R122" s="4" t="s">
        <v>476</v>
      </c>
      <c r="S122" s="9" t="s">
        <v>477</v>
      </c>
    </row>
    <row r="123" spans="2:19" ht="17" x14ac:dyDescent="0.2">
      <c r="B123" s="6" t="s">
        <v>478</v>
      </c>
      <c r="C123" s="4" t="s">
        <v>479</v>
      </c>
      <c r="D123" s="53">
        <v>1100</v>
      </c>
      <c r="E123" s="53">
        <v>1100</v>
      </c>
      <c r="F123" s="53">
        <v>1100</v>
      </c>
      <c r="G123" s="53">
        <v>1100</v>
      </c>
      <c r="H123" s="53">
        <v>1100</v>
      </c>
      <c r="I123" s="53">
        <v>1100</v>
      </c>
      <c r="J123" s="53">
        <v>1100</v>
      </c>
      <c r="K123" s="53">
        <v>1100</v>
      </c>
      <c r="L123" s="53">
        <v>1100</v>
      </c>
      <c r="M123" s="53">
        <v>1100</v>
      </c>
      <c r="N123" s="54">
        <f t="shared" si="0"/>
        <v>11000</v>
      </c>
      <c r="R123" s="4" t="s">
        <v>480</v>
      </c>
      <c r="S123" s="9" t="s">
        <v>477</v>
      </c>
    </row>
    <row r="124" spans="2:19" ht="17" x14ac:dyDescent="0.2">
      <c r="B124" s="6" t="s">
        <v>481</v>
      </c>
      <c r="C124" s="4" t="s">
        <v>482</v>
      </c>
      <c r="D124" s="47">
        <v>0</v>
      </c>
      <c r="E124" s="47">
        <v>0</v>
      </c>
      <c r="F124" s="47">
        <v>0</v>
      </c>
      <c r="G124" s="47">
        <v>0</v>
      </c>
      <c r="H124" s="47">
        <v>0</v>
      </c>
      <c r="I124" s="47">
        <v>0</v>
      </c>
      <c r="J124" s="47">
        <v>0</v>
      </c>
      <c r="K124" s="47">
        <v>0</v>
      </c>
      <c r="L124" s="47">
        <v>0</v>
      </c>
      <c r="M124" s="47">
        <v>0</v>
      </c>
      <c r="N124" s="52">
        <f t="shared" si="0"/>
        <v>0</v>
      </c>
      <c r="R124" s="4" t="s">
        <v>221</v>
      </c>
      <c r="S124" s="9" t="s">
        <v>483</v>
      </c>
    </row>
    <row r="125" spans="2:19" ht="17" x14ac:dyDescent="0.2">
      <c r="B125" s="6" t="s">
        <v>484</v>
      </c>
      <c r="C125" s="4" t="s">
        <v>485</v>
      </c>
      <c r="D125" s="47">
        <v>12000</v>
      </c>
      <c r="E125" s="47">
        <v>12000</v>
      </c>
      <c r="F125" s="47">
        <v>12000</v>
      </c>
      <c r="G125" s="47">
        <v>12000</v>
      </c>
      <c r="H125" s="47">
        <v>12000</v>
      </c>
      <c r="I125" s="47">
        <v>12000</v>
      </c>
      <c r="J125" s="47">
        <v>12000</v>
      </c>
      <c r="K125" s="47">
        <v>12000</v>
      </c>
      <c r="L125" s="47">
        <v>12000</v>
      </c>
      <c r="M125" s="47">
        <v>12000</v>
      </c>
      <c r="N125" s="52">
        <f t="shared" si="0"/>
        <v>120000</v>
      </c>
      <c r="R125" s="4" t="s">
        <v>476</v>
      </c>
      <c r="S125" s="9" t="s">
        <v>486</v>
      </c>
    </row>
    <row r="126" spans="2:19" ht="17" x14ac:dyDescent="0.2">
      <c r="B126" s="6" t="s">
        <v>487</v>
      </c>
      <c r="C126" s="4" t="s">
        <v>488</v>
      </c>
      <c r="D126" s="53">
        <v>600</v>
      </c>
      <c r="E126" s="53">
        <v>600</v>
      </c>
      <c r="F126" s="53">
        <v>600</v>
      </c>
      <c r="G126" s="53">
        <v>600</v>
      </c>
      <c r="H126" s="53">
        <v>600</v>
      </c>
      <c r="I126" s="53">
        <v>600</v>
      </c>
      <c r="J126" s="53">
        <v>600</v>
      </c>
      <c r="K126" s="53">
        <v>600</v>
      </c>
      <c r="L126" s="53">
        <v>600</v>
      </c>
      <c r="M126" s="53">
        <v>600</v>
      </c>
      <c r="N126" s="54">
        <f t="shared" si="0"/>
        <v>6000</v>
      </c>
      <c r="R126" s="4" t="s">
        <v>480</v>
      </c>
      <c r="S126" s="9" t="s">
        <v>486</v>
      </c>
    </row>
    <row r="127" spans="2:19" ht="17" x14ac:dyDescent="0.2">
      <c r="B127" s="6" t="s">
        <v>489</v>
      </c>
      <c r="C127" s="4" t="s">
        <v>490</v>
      </c>
      <c r="D127" s="47">
        <v>600000</v>
      </c>
      <c r="E127" s="47">
        <v>600000</v>
      </c>
      <c r="F127" s="47">
        <v>600000</v>
      </c>
      <c r="G127" s="47">
        <v>600000</v>
      </c>
      <c r="H127" s="47">
        <v>600000</v>
      </c>
      <c r="I127" s="47">
        <v>600000</v>
      </c>
      <c r="J127" s="47">
        <v>600000</v>
      </c>
      <c r="K127" s="47">
        <v>600000</v>
      </c>
      <c r="L127" s="47">
        <v>600000</v>
      </c>
      <c r="M127" s="47">
        <v>600000</v>
      </c>
      <c r="N127" s="52">
        <f t="shared" si="0"/>
        <v>6000000</v>
      </c>
      <c r="R127" s="4" t="s">
        <v>491</v>
      </c>
      <c r="S127" s="9" t="s">
        <v>492</v>
      </c>
    </row>
    <row r="128" spans="2:19" ht="17" x14ac:dyDescent="0.2">
      <c r="B128" s="6" t="s">
        <v>493</v>
      </c>
      <c r="C128" s="4" t="s">
        <v>494</v>
      </c>
      <c r="D128" s="47">
        <v>3000</v>
      </c>
      <c r="E128" s="47">
        <v>3000</v>
      </c>
      <c r="F128" s="47">
        <v>3000</v>
      </c>
      <c r="G128" s="47">
        <v>3000</v>
      </c>
      <c r="H128" s="47">
        <v>3000</v>
      </c>
      <c r="I128" s="47">
        <v>3000</v>
      </c>
      <c r="J128" s="47">
        <v>3000</v>
      </c>
      <c r="K128" s="47">
        <v>3000</v>
      </c>
      <c r="L128" s="47">
        <v>3000</v>
      </c>
      <c r="M128" s="47">
        <v>3000</v>
      </c>
      <c r="N128" s="52">
        <f t="shared" si="0"/>
        <v>30000</v>
      </c>
      <c r="R128" s="4" t="s">
        <v>476</v>
      </c>
      <c r="S128" s="9" t="s">
        <v>495</v>
      </c>
    </row>
    <row r="129" spans="2:19" ht="30" customHeight="1" x14ac:dyDescent="0.2">
      <c r="B129" s="6" t="s">
        <v>496</v>
      </c>
      <c r="C129" s="4" t="s">
        <v>497</v>
      </c>
      <c r="D129" s="47">
        <v>0</v>
      </c>
      <c r="E129" s="47">
        <v>0</v>
      </c>
      <c r="F129" s="47">
        <v>0</v>
      </c>
      <c r="G129" s="47">
        <v>0</v>
      </c>
      <c r="H129" s="47">
        <v>0</v>
      </c>
      <c r="I129" s="47">
        <v>0</v>
      </c>
      <c r="J129" s="47">
        <v>0</v>
      </c>
      <c r="K129" s="47">
        <v>0</v>
      </c>
      <c r="L129" s="47">
        <v>0</v>
      </c>
      <c r="M129" s="47">
        <v>0</v>
      </c>
      <c r="N129" s="52">
        <f t="shared" si="0"/>
        <v>0</v>
      </c>
      <c r="R129" s="4" t="s">
        <v>221</v>
      </c>
      <c r="S129" s="9" t="s">
        <v>498</v>
      </c>
    </row>
    <row r="130" spans="2:19" ht="30" customHeight="1" x14ac:dyDescent="0.2">
      <c r="B130" s="6" t="s">
        <v>499</v>
      </c>
      <c r="C130" s="4" t="s">
        <v>500</v>
      </c>
      <c r="D130" s="47">
        <v>0</v>
      </c>
      <c r="E130" s="47">
        <v>0</v>
      </c>
      <c r="F130" s="47">
        <v>0</v>
      </c>
      <c r="G130" s="47">
        <v>0</v>
      </c>
      <c r="H130" s="47">
        <v>0</v>
      </c>
      <c r="I130" s="47">
        <v>0</v>
      </c>
      <c r="J130" s="47">
        <v>0</v>
      </c>
      <c r="K130" s="47">
        <v>0</v>
      </c>
      <c r="L130" s="47">
        <v>0</v>
      </c>
      <c r="M130" s="47">
        <v>0</v>
      </c>
      <c r="N130" s="52">
        <f t="shared" si="0"/>
        <v>0</v>
      </c>
      <c r="R130" s="4" t="s">
        <v>226</v>
      </c>
      <c r="S130" s="9" t="s">
        <v>501</v>
      </c>
    </row>
    <row r="131" spans="2:19" ht="17" x14ac:dyDescent="0.2">
      <c r="B131" s="6" t="s">
        <v>502</v>
      </c>
      <c r="C131" s="4" t="s">
        <v>369</v>
      </c>
      <c r="D131" s="32"/>
      <c r="E131" s="32"/>
      <c r="F131" s="32"/>
      <c r="G131" s="32"/>
      <c r="H131" s="32"/>
      <c r="I131" s="32"/>
      <c r="J131" s="32"/>
      <c r="K131" s="32"/>
      <c r="L131" s="32"/>
      <c r="M131" s="32"/>
      <c r="R131" s="4" t="s">
        <v>263</v>
      </c>
      <c r="S131" s="9" t="s">
        <v>124</v>
      </c>
    </row>
    <row r="132" spans="2:19" ht="17" x14ac:dyDescent="0.2">
      <c r="B132" s="6" t="s">
        <v>503</v>
      </c>
      <c r="C132" s="4" t="s">
        <v>262</v>
      </c>
      <c r="D132" s="56">
        <f t="shared" ref="D132:M132" si="1">$D$28</f>
        <v>1.2500000000000001E-2</v>
      </c>
      <c r="E132" s="56">
        <f t="shared" si="1"/>
        <v>1.2500000000000001E-2</v>
      </c>
      <c r="F132" s="56">
        <f t="shared" si="1"/>
        <v>1.2500000000000001E-2</v>
      </c>
      <c r="G132" s="56">
        <f t="shared" si="1"/>
        <v>1.2500000000000001E-2</v>
      </c>
      <c r="H132" s="56">
        <f t="shared" si="1"/>
        <v>1.2500000000000001E-2</v>
      </c>
      <c r="I132" s="56">
        <f t="shared" si="1"/>
        <v>1.2500000000000001E-2</v>
      </c>
      <c r="J132" s="56">
        <f t="shared" si="1"/>
        <v>1.2500000000000001E-2</v>
      </c>
      <c r="K132" s="56">
        <f t="shared" si="1"/>
        <v>1.2500000000000001E-2</v>
      </c>
      <c r="L132" s="56">
        <f t="shared" si="1"/>
        <v>1.2500000000000001E-2</v>
      </c>
      <c r="M132" s="56">
        <f t="shared" si="1"/>
        <v>1.2500000000000001E-2</v>
      </c>
      <c r="R132" s="4" t="s">
        <v>263</v>
      </c>
      <c r="S132" s="9" t="s">
        <v>234</v>
      </c>
    </row>
    <row r="134" spans="2:19" ht="16" x14ac:dyDescent="0.2">
      <c r="B134" s="49" t="s">
        <v>504</v>
      </c>
    </row>
    <row r="135" spans="2:19" ht="17" x14ac:dyDescent="0.2">
      <c r="B135" s="6" t="s">
        <v>505</v>
      </c>
      <c r="C135" s="4" t="s">
        <v>369</v>
      </c>
      <c r="D135" s="20">
        <f t="shared" ref="D135:M135" si="2">IF(ISNUMBER(D$131),D$131,$D$76)</f>
        <v>0.05</v>
      </c>
      <c r="E135" s="20">
        <f t="shared" si="2"/>
        <v>0.05</v>
      </c>
      <c r="F135" s="20">
        <f t="shared" si="2"/>
        <v>0.05</v>
      </c>
      <c r="G135" s="20">
        <f t="shared" si="2"/>
        <v>0.05</v>
      </c>
      <c r="H135" s="20">
        <f t="shared" si="2"/>
        <v>0.05</v>
      </c>
      <c r="I135" s="20">
        <f t="shared" si="2"/>
        <v>0.05</v>
      </c>
      <c r="J135" s="20">
        <f t="shared" si="2"/>
        <v>0.05</v>
      </c>
      <c r="K135" s="20">
        <f t="shared" si="2"/>
        <v>0.05</v>
      </c>
      <c r="L135" s="20">
        <f t="shared" si="2"/>
        <v>0.05</v>
      </c>
      <c r="M135" s="20">
        <f t="shared" si="2"/>
        <v>0.05</v>
      </c>
      <c r="R135" s="4" t="s">
        <v>263</v>
      </c>
      <c r="S135" s="9" t="s">
        <v>124</v>
      </c>
    </row>
    <row r="136" spans="2:19" ht="17" x14ac:dyDescent="0.2">
      <c r="B136" s="6" t="s">
        <v>506</v>
      </c>
      <c r="C136" s="4" t="s">
        <v>507</v>
      </c>
      <c r="D136" s="21">
        <f t="shared" ref="D136:M136" si="3">D$115*D$116*(1-D$135)</f>
        <v>7980</v>
      </c>
      <c r="E136" s="21">
        <f t="shared" si="3"/>
        <v>7980</v>
      </c>
      <c r="F136" s="21">
        <f t="shared" si="3"/>
        <v>7980</v>
      </c>
      <c r="G136" s="21">
        <f t="shared" si="3"/>
        <v>7980</v>
      </c>
      <c r="H136" s="21">
        <f t="shared" si="3"/>
        <v>7980</v>
      </c>
      <c r="I136" s="21">
        <f t="shared" si="3"/>
        <v>7980</v>
      </c>
      <c r="J136" s="21">
        <f t="shared" si="3"/>
        <v>7980</v>
      </c>
      <c r="K136" s="21">
        <f t="shared" si="3"/>
        <v>7980</v>
      </c>
      <c r="L136" s="21">
        <f t="shared" si="3"/>
        <v>7980</v>
      </c>
      <c r="M136" s="21">
        <f t="shared" si="3"/>
        <v>7980</v>
      </c>
      <c r="N136" s="52">
        <f>SUM(D136:M136)</f>
        <v>79800</v>
      </c>
      <c r="R136" s="4" t="s">
        <v>226</v>
      </c>
      <c r="S136" s="9" t="s">
        <v>124</v>
      </c>
    </row>
    <row r="137" spans="2:19" ht="17" x14ac:dyDescent="0.2">
      <c r="B137" s="6" t="s">
        <v>508</v>
      </c>
      <c r="C137" s="4" t="s">
        <v>460</v>
      </c>
      <c r="D137" s="21">
        <f t="shared" ref="D137:M137" si="4">IF($D$51="Weighed",D$117,IF($D$52&gt;0,D$136/$D$52,0))</f>
        <v>16000</v>
      </c>
      <c r="E137" s="21">
        <f t="shared" si="4"/>
        <v>16000</v>
      </c>
      <c r="F137" s="21">
        <f t="shared" si="4"/>
        <v>16000</v>
      </c>
      <c r="G137" s="21">
        <f t="shared" si="4"/>
        <v>16000</v>
      </c>
      <c r="H137" s="21">
        <f t="shared" si="4"/>
        <v>16000</v>
      </c>
      <c r="I137" s="21">
        <f t="shared" si="4"/>
        <v>16000</v>
      </c>
      <c r="J137" s="21">
        <f t="shared" si="4"/>
        <v>16000</v>
      </c>
      <c r="K137" s="21">
        <f t="shared" si="4"/>
        <v>16000</v>
      </c>
      <c r="L137" s="21">
        <f t="shared" si="4"/>
        <v>16000</v>
      </c>
      <c r="M137" s="21">
        <f t="shared" si="4"/>
        <v>16000</v>
      </c>
      <c r="N137" s="52">
        <f>SUM(D137:M137)</f>
        <v>160000</v>
      </c>
      <c r="R137" s="4" t="s">
        <v>226</v>
      </c>
      <c r="S137" s="9" t="s">
        <v>509</v>
      </c>
    </row>
    <row r="138" spans="2:19" ht="17" x14ac:dyDescent="0.2">
      <c r="B138" s="6" t="s">
        <v>510</v>
      </c>
      <c r="C138" s="4"/>
      <c r="D138" s="4" t="str">
        <f t="shared" ref="D138:M138" si="5">IF($D$53&lt;=0,"n/a",IF(D$137&gt;0,IF(D$136/D$137&gt;$D$53,"Above ceiling","OK"),"n/a"))</f>
        <v>n/a</v>
      </c>
      <c r="E138" s="4" t="str">
        <f t="shared" si="5"/>
        <v>n/a</v>
      </c>
      <c r="F138" s="4" t="str">
        <f t="shared" si="5"/>
        <v>n/a</v>
      </c>
      <c r="G138" s="4" t="str">
        <f t="shared" si="5"/>
        <v>n/a</v>
      </c>
      <c r="H138" s="4" t="str">
        <f t="shared" si="5"/>
        <v>n/a</v>
      </c>
      <c r="I138" s="4" t="str">
        <f t="shared" si="5"/>
        <v>n/a</v>
      </c>
      <c r="J138" s="4" t="str">
        <f t="shared" si="5"/>
        <v>n/a</v>
      </c>
      <c r="K138" s="4" t="str">
        <f t="shared" si="5"/>
        <v>n/a</v>
      </c>
      <c r="L138" s="4" t="str">
        <f t="shared" si="5"/>
        <v>n/a</v>
      </c>
      <c r="M138" s="4" t="str">
        <f t="shared" si="5"/>
        <v>n/a</v>
      </c>
      <c r="R138" s="4"/>
      <c r="S138" s="9" t="s">
        <v>511</v>
      </c>
    </row>
    <row r="139" spans="2:19" ht="30" customHeight="1" x14ac:dyDescent="0.2">
      <c r="B139" s="6" t="s">
        <v>512</v>
      </c>
      <c r="C139" s="4" t="s">
        <v>513</v>
      </c>
      <c r="D139" s="21">
        <f>D$136*$D$80*Defaults!$C$5</f>
        <v>9948.4000000000106</v>
      </c>
      <c r="E139" s="21">
        <f>E$136*$D$80*Defaults!$C$5</f>
        <v>9948.4000000000106</v>
      </c>
      <c r="F139" s="21">
        <f>F$136*$D$80*Defaults!$C$5</f>
        <v>9948.4000000000106</v>
      </c>
      <c r="G139" s="21">
        <f>G$136*$D$80*Defaults!$C$5</f>
        <v>9948.4000000000106</v>
      </c>
      <c r="H139" s="21">
        <f>H$136*$D$80*Defaults!$C$5</f>
        <v>9948.4000000000106</v>
      </c>
      <c r="I139" s="21">
        <f>I$136*$D$80*Defaults!$C$5</f>
        <v>9948.4000000000106</v>
      </c>
      <c r="J139" s="21">
        <f>J$136*$D$80*Defaults!$C$5</f>
        <v>9948.4000000000106</v>
      </c>
      <c r="K139" s="21">
        <f>K$136*$D$80*Defaults!$C$5</f>
        <v>9948.4000000000106</v>
      </c>
      <c r="L139" s="21">
        <f>L$136*$D$80*Defaults!$C$5</f>
        <v>9948.4000000000106</v>
      </c>
      <c r="M139" s="21">
        <f>M$136*$D$80*Defaults!$C$5</f>
        <v>9948.4000000000106</v>
      </c>
      <c r="N139" s="52">
        <f>SUM(D139:M139)</f>
        <v>99484.000000000102</v>
      </c>
      <c r="R139" s="4" t="s">
        <v>221</v>
      </c>
      <c r="S139" s="9" t="s">
        <v>514</v>
      </c>
    </row>
    <row r="140" spans="2:19" ht="17" x14ac:dyDescent="0.2">
      <c r="B140" s="35" t="s">
        <v>227</v>
      </c>
      <c r="C140" s="2" t="s">
        <v>515</v>
      </c>
      <c r="D140" s="26">
        <f t="shared" ref="D140:M140" si="6">D$139*$D$88*(1-$D$91)*(1-$D$36)</f>
        <v>9328.9406437924426</v>
      </c>
      <c r="E140" s="26">
        <f t="shared" si="6"/>
        <v>9328.9406437924426</v>
      </c>
      <c r="F140" s="26">
        <f t="shared" si="6"/>
        <v>9328.9406437924426</v>
      </c>
      <c r="G140" s="26">
        <f t="shared" si="6"/>
        <v>9328.9406437924426</v>
      </c>
      <c r="H140" s="26">
        <f t="shared" si="6"/>
        <v>9328.9406437924426</v>
      </c>
      <c r="I140" s="26">
        <f t="shared" si="6"/>
        <v>9328.9406437924426</v>
      </c>
      <c r="J140" s="26">
        <f t="shared" si="6"/>
        <v>9328.9406437924426</v>
      </c>
      <c r="K140" s="26">
        <f t="shared" si="6"/>
        <v>9328.9406437924426</v>
      </c>
      <c r="L140" s="26">
        <f t="shared" si="6"/>
        <v>9328.9406437924426</v>
      </c>
      <c r="M140" s="26">
        <f t="shared" si="6"/>
        <v>9328.9406437924426</v>
      </c>
      <c r="N140" s="26">
        <f>SUM(D140:M140)</f>
        <v>93289.406437924437</v>
      </c>
      <c r="R140" s="2" t="s">
        <v>221</v>
      </c>
      <c r="S140" s="27" t="s">
        <v>516</v>
      </c>
    </row>
    <row r="142" spans="2:19" ht="16" x14ac:dyDescent="0.2">
      <c r="B142" s="49" t="s">
        <v>203</v>
      </c>
    </row>
    <row r="143" spans="2:19" ht="17" x14ac:dyDescent="0.2">
      <c r="B143" s="6" t="s">
        <v>517</v>
      </c>
      <c r="C143" s="4" t="s">
        <v>518</v>
      </c>
      <c r="D143" s="57">
        <f>IF(LEFT($D$97,8)="Option A",IF($D$54="Moist (&gt; 24%) — not creditable",0,D$136*$D$98),IF(LEFT($D$97,8)="Option B",D$136*$D$100,IF(LEFT($D$97,7)="Track 2",D$120*Defaults!$C$22,D$121)))*$D$29</f>
        <v>168</v>
      </c>
      <c r="E143" s="57">
        <f>IF(LEFT($D$97,8)="Option A",IF($D$54="Moist (&gt; 24%) — not creditable",0,E$136*$D$98),IF(LEFT($D$97,8)="Option B",E$136*$D$100,IF(LEFT($D$97,7)="Track 2",E$120*Defaults!$C$22,E$121)))*$D$29</f>
        <v>168</v>
      </c>
      <c r="F143" s="57">
        <f>IF(LEFT($D$97,8)="Option A",IF($D$54="Moist (&gt; 24%) — not creditable",0,F$136*$D$98),IF(LEFT($D$97,8)="Option B",F$136*$D$100,IF(LEFT($D$97,7)="Track 2",F$120*Defaults!$C$22,F$121)))*$D$29</f>
        <v>168</v>
      </c>
      <c r="G143" s="57">
        <f>IF(LEFT($D$97,8)="Option A",IF($D$54="Moist (&gt; 24%) — not creditable",0,G$136*$D$98),IF(LEFT($D$97,8)="Option B",G$136*$D$100,IF(LEFT($D$97,7)="Track 2",G$120*Defaults!$C$22,G$121)))*$D$29</f>
        <v>168</v>
      </c>
      <c r="H143" s="57">
        <f>IF(LEFT($D$97,8)="Option A",IF($D$54="Moist (&gt; 24%) — not creditable",0,H$136*$D$98),IF(LEFT($D$97,8)="Option B",H$136*$D$100,IF(LEFT($D$97,7)="Track 2",H$120*Defaults!$C$22,H$121)))*$D$29</f>
        <v>168</v>
      </c>
      <c r="I143" s="57">
        <f>IF(LEFT($D$97,8)="Option A",IF($D$54="Moist (&gt; 24%) — not creditable",0,I$136*$D$98),IF(LEFT($D$97,8)="Option B",I$136*$D$100,IF(LEFT($D$97,7)="Track 2",I$120*Defaults!$C$22,I$121)))*$D$29</f>
        <v>168</v>
      </c>
      <c r="J143" s="57">
        <f>IF(LEFT($D$97,8)="Option A",IF($D$54="Moist (&gt; 24%) — not creditable",0,J$136*$D$98),IF(LEFT($D$97,8)="Option B",J$136*$D$100,IF(LEFT($D$97,7)="Track 2",J$120*Defaults!$C$22,J$121)))*$D$29</f>
        <v>168</v>
      </c>
      <c r="K143" s="57">
        <f>IF(LEFT($D$97,8)="Option A",IF($D$54="Moist (&gt; 24%) — not creditable",0,K$136*$D$98),IF(LEFT($D$97,8)="Option B",K$136*$D$100,IF(LEFT($D$97,7)="Track 2",K$120*Defaults!$C$22,K$121)))*$D$29</f>
        <v>168</v>
      </c>
      <c r="L143" s="57">
        <f>IF(LEFT($D$97,8)="Option A",IF($D$54="Moist (&gt; 24%) — not creditable",0,L$136*$D$98),IF(LEFT($D$97,8)="Option B",L$136*$D$100,IF(LEFT($D$97,7)="Track 2",L$120*Defaults!$C$22,L$121)))*$D$29</f>
        <v>168</v>
      </c>
      <c r="M143" s="57">
        <f>IF(LEFT($D$97,8)="Option A",IF($D$54="Moist (&gt; 24%) — not creditable",0,M$136*$D$98),IF(LEFT($D$97,8)="Option B",M$136*$D$100,IF(LEFT($D$97,7)="Track 2",M$120*Defaults!$C$22,M$121)))*$D$29</f>
        <v>168</v>
      </c>
      <c r="N143" s="54">
        <f t="shared" ref="N143:N151" si="7">SUM(D143:M143)</f>
        <v>1680</v>
      </c>
      <c r="R143" s="4" t="s">
        <v>221</v>
      </c>
      <c r="S143" s="9" t="s">
        <v>142</v>
      </c>
    </row>
    <row r="144" spans="2:19" ht="17" x14ac:dyDescent="0.2">
      <c r="B144" s="6" t="s">
        <v>519</v>
      </c>
      <c r="C144" s="4" t="s">
        <v>520</v>
      </c>
      <c r="D144" s="57">
        <f>IF(LEFT($D$104,9)="Small-hub",D$137*Defaults!$C$19,D$122*$D$101+D$123*$D$102)</f>
        <v>550</v>
      </c>
      <c r="E144" s="57">
        <f>IF(LEFT($D$104,9)="Small-hub",E$137*Defaults!$C$19,E$122*$D$101+E$123*$D$102)</f>
        <v>550</v>
      </c>
      <c r="F144" s="57">
        <f>IF(LEFT($D$104,9)="Small-hub",F$137*Defaults!$C$19,F$122*$D$101+F$123*$D$102)</f>
        <v>550</v>
      </c>
      <c r="G144" s="57">
        <f>IF(LEFT($D$104,9)="Small-hub",G$137*Defaults!$C$19,G$122*$D$101+G$123*$D$102)</f>
        <v>550</v>
      </c>
      <c r="H144" s="57">
        <f>IF(LEFT($D$104,9)="Small-hub",H$137*Defaults!$C$19,H$122*$D$101+H$123*$D$102)</f>
        <v>550</v>
      </c>
      <c r="I144" s="57">
        <f>IF(LEFT($D$104,9)="Small-hub",I$137*Defaults!$C$19,I$122*$D$101+I$123*$D$102)</f>
        <v>550</v>
      </c>
      <c r="J144" s="57">
        <f>IF(LEFT($D$104,9)="Small-hub",J$137*Defaults!$C$19,J$122*$D$101+J$123*$D$102)</f>
        <v>550</v>
      </c>
      <c r="K144" s="57">
        <f>IF(LEFT($D$104,9)="Small-hub",K$137*Defaults!$C$19,K$122*$D$101+K$123*$D$102)</f>
        <v>550</v>
      </c>
      <c r="L144" s="57">
        <f>IF(LEFT($D$104,9)="Small-hub",L$137*Defaults!$C$19,L$122*$D$101+L$123*$D$102)</f>
        <v>550</v>
      </c>
      <c r="M144" s="57">
        <f>IF(LEFT($D$104,9)="Small-hub",M$137*Defaults!$C$19,M$122*$D$101+M$123*$D$102)</f>
        <v>550</v>
      </c>
      <c r="N144" s="54">
        <f t="shared" si="7"/>
        <v>5500</v>
      </c>
      <c r="R144" s="4" t="s">
        <v>221</v>
      </c>
      <c r="S144" s="9" t="s">
        <v>137</v>
      </c>
    </row>
    <row r="145" spans="2:19" ht="17" x14ac:dyDescent="0.2">
      <c r="B145" s="6" t="s">
        <v>521</v>
      </c>
      <c r="C145" s="4" t="s">
        <v>466</v>
      </c>
      <c r="D145" s="57">
        <f>IF(LEFT($D$69,7)="Default",D$137*$D$70*Defaults!$C$24*Defaults!$C$25*$D$29*MAX(0,D$118),IF(LEFT($D$69,8)="Activity",D$119,0))</f>
        <v>180</v>
      </c>
      <c r="E145" s="57">
        <f>IF(LEFT($D$69,7)="Default",E$137*$D$70*Defaults!$C$24*Defaults!$C$25*$D$29*MAX(0,E$118),IF(LEFT($D$69,8)="Activity",E$119,0))</f>
        <v>180</v>
      </c>
      <c r="F145" s="57">
        <f>IF(LEFT($D$69,7)="Default",F$137*$D$70*Defaults!$C$24*Defaults!$C$25*$D$29*MAX(0,F$118),IF(LEFT($D$69,8)="Activity",F$119,0))</f>
        <v>180</v>
      </c>
      <c r="G145" s="57">
        <f>IF(LEFT($D$69,7)="Default",G$137*$D$70*Defaults!$C$24*Defaults!$C$25*$D$29*MAX(0,G$118),IF(LEFT($D$69,8)="Activity",G$119,0))</f>
        <v>180</v>
      </c>
      <c r="H145" s="57">
        <f>IF(LEFT($D$69,7)="Default",H$137*$D$70*Defaults!$C$24*Defaults!$C$25*$D$29*MAX(0,H$118),IF(LEFT($D$69,8)="Activity",H$119,0))</f>
        <v>180</v>
      </c>
      <c r="I145" s="57">
        <f>IF(LEFT($D$69,7)="Default",I$137*$D$70*Defaults!$C$24*Defaults!$C$25*$D$29*MAX(0,I$118),IF(LEFT($D$69,8)="Activity",I$119,0))</f>
        <v>180</v>
      </c>
      <c r="J145" s="57">
        <f>IF(LEFT($D$69,7)="Default",J$137*$D$70*Defaults!$C$24*Defaults!$C$25*$D$29*MAX(0,J$118),IF(LEFT($D$69,8)="Activity",J$119,0))</f>
        <v>180</v>
      </c>
      <c r="K145" s="57">
        <f>IF(LEFT($D$69,7)="Default",K$137*$D$70*Defaults!$C$24*Defaults!$C$25*$D$29*MAX(0,K$118),IF(LEFT($D$69,8)="Activity",K$119,0))</f>
        <v>180</v>
      </c>
      <c r="L145" s="57">
        <f>IF(LEFT($D$69,7)="Default",L$137*$D$70*Defaults!$C$24*Defaults!$C$25*$D$29*MAX(0,L$118),IF(LEFT($D$69,8)="Activity",L$119,0))</f>
        <v>180</v>
      </c>
      <c r="M145" s="57">
        <f>IF(LEFT($D$69,7)="Default",M$137*$D$70*Defaults!$C$24*Defaults!$C$25*$D$29*MAX(0,M$118),IF(LEFT($D$69,8)="Activity",M$119,0))</f>
        <v>180</v>
      </c>
      <c r="N145" s="54">
        <f t="shared" si="7"/>
        <v>1800</v>
      </c>
      <c r="R145" s="4" t="s">
        <v>221</v>
      </c>
      <c r="S145" s="9" t="s">
        <v>137</v>
      </c>
    </row>
    <row r="146" spans="2:19" ht="17" x14ac:dyDescent="0.2">
      <c r="B146" s="6" t="s">
        <v>522</v>
      </c>
      <c r="C146" s="4" t="s">
        <v>482</v>
      </c>
      <c r="D146" s="57">
        <f t="shared" ref="D146:M146" si="8">D$124</f>
        <v>0</v>
      </c>
      <c r="E146" s="57">
        <f t="shared" si="8"/>
        <v>0</v>
      </c>
      <c r="F146" s="57">
        <f t="shared" si="8"/>
        <v>0</v>
      </c>
      <c r="G146" s="57">
        <f t="shared" si="8"/>
        <v>0</v>
      </c>
      <c r="H146" s="57">
        <f t="shared" si="8"/>
        <v>0</v>
      </c>
      <c r="I146" s="57">
        <f t="shared" si="8"/>
        <v>0</v>
      </c>
      <c r="J146" s="57">
        <f t="shared" si="8"/>
        <v>0</v>
      </c>
      <c r="K146" s="57">
        <f t="shared" si="8"/>
        <v>0</v>
      </c>
      <c r="L146" s="57">
        <f t="shared" si="8"/>
        <v>0</v>
      </c>
      <c r="M146" s="57">
        <f t="shared" si="8"/>
        <v>0</v>
      </c>
      <c r="N146" s="54">
        <f t="shared" si="7"/>
        <v>0</v>
      </c>
      <c r="R146" s="4" t="s">
        <v>221</v>
      </c>
      <c r="S146" s="9" t="s">
        <v>483</v>
      </c>
    </row>
    <row r="147" spans="2:19" ht="17" x14ac:dyDescent="0.2">
      <c r="B147" s="6" t="s">
        <v>523</v>
      </c>
      <c r="C147" s="4" t="s">
        <v>524</v>
      </c>
      <c r="D147" s="57">
        <f t="shared" ref="D147:M147" si="9">D$125*$D$101+D$126*$D$102</f>
        <v>332.16</v>
      </c>
      <c r="E147" s="57">
        <f t="shared" si="9"/>
        <v>332.16</v>
      </c>
      <c r="F147" s="57">
        <f t="shared" si="9"/>
        <v>332.16</v>
      </c>
      <c r="G147" s="57">
        <f t="shared" si="9"/>
        <v>332.16</v>
      </c>
      <c r="H147" s="57">
        <f t="shared" si="9"/>
        <v>332.16</v>
      </c>
      <c r="I147" s="57">
        <f t="shared" si="9"/>
        <v>332.16</v>
      </c>
      <c r="J147" s="57">
        <f t="shared" si="9"/>
        <v>332.16</v>
      </c>
      <c r="K147" s="57">
        <f t="shared" si="9"/>
        <v>332.16</v>
      </c>
      <c r="L147" s="57">
        <f t="shared" si="9"/>
        <v>332.16</v>
      </c>
      <c r="M147" s="57">
        <f t="shared" si="9"/>
        <v>332.16</v>
      </c>
      <c r="N147" s="54">
        <f t="shared" si="7"/>
        <v>3321.6</v>
      </c>
      <c r="R147" s="4" t="s">
        <v>221</v>
      </c>
      <c r="S147" s="9" t="s">
        <v>142</v>
      </c>
    </row>
    <row r="148" spans="2:19" ht="17" x14ac:dyDescent="0.2">
      <c r="B148" s="6" t="s">
        <v>525</v>
      </c>
      <c r="C148" s="4" t="s">
        <v>526</v>
      </c>
      <c r="D148" s="57">
        <f t="shared" ref="D148:M148" si="10">D$127*$D$103</f>
        <v>72</v>
      </c>
      <c r="E148" s="57">
        <f t="shared" si="10"/>
        <v>72</v>
      </c>
      <c r="F148" s="57">
        <f t="shared" si="10"/>
        <v>72</v>
      </c>
      <c r="G148" s="57">
        <f t="shared" si="10"/>
        <v>72</v>
      </c>
      <c r="H148" s="57">
        <f t="shared" si="10"/>
        <v>72</v>
      </c>
      <c r="I148" s="57">
        <f t="shared" si="10"/>
        <v>72</v>
      </c>
      <c r="J148" s="57">
        <f t="shared" si="10"/>
        <v>72</v>
      </c>
      <c r="K148" s="57">
        <f t="shared" si="10"/>
        <v>72</v>
      </c>
      <c r="L148" s="57">
        <f t="shared" si="10"/>
        <v>72</v>
      </c>
      <c r="M148" s="57">
        <f t="shared" si="10"/>
        <v>72</v>
      </c>
      <c r="N148" s="54">
        <f t="shared" si="7"/>
        <v>720</v>
      </c>
      <c r="R148" s="4" t="s">
        <v>221</v>
      </c>
      <c r="S148" s="9" t="s">
        <v>146</v>
      </c>
    </row>
    <row r="149" spans="2:19" ht="17" x14ac:dyDescent="0.2">
      <c r="B149" s="6" t="s">
        <v>527</v>
      </c>
      <c r="C149" s="4" t="s">
        <v>528</v>
      </c>
      <c r="D149" s="57">
        <f t="shared" ref="D149:M149" si="11">D$128*$D$101+D$129</f>
        <v>8.0400000000000009</v>
      </c>
      <c r="E149" s="57">
        <f t="shared" si="11"/>
        <v>8.0400000000000009</v>
      </c>
      <c r="F149" s="57">
        <f t="shared" si="11"/>
        <v>8.0400000000000009</v>
      </c>
      <c r="G149" s="57">
        <f t="shared" si="11"/>
        <v>8.0400000000000009</v>
      </c>
      <c r="H149" s="57">
        <f t="shared" si="11"/>
        <v>8.0400000000000009</v>
      </c>
      <c r="I149" s="57">
        <f t="shared" si="11"/>
        <v>8.0400000000000009</v>
      </c>
      <c r="J149" s="57">
        <f t="shared" si="11"/>
        <v>8.0400000000000009</v>
      </c>
      <c r="K149" s="57">
        <f t="shared" si="11"/>
        <v>8.0400000000000009</v>
      </c>
      <c r="L149" s="57">
        <f t="shared" si="11"/>
        <v>8.0400000000000009</v>
      </c>
      <c r="M149" s="57">
        <f t="shared" si="11"/>
        <v>8.0400000000000009</v>
      </c>
      <c r="N149" s="54">
        <f t="shared" si="7"/>
        <v>80.40000000000002</v>
      </c>
      <c r="R149" s="4" t="s">
        <v>221</v>
      </c>
      <c r="S149" s="9" t="s">
        <v>149</v>
      </c>
    </row>
    <row r="150" spans="2:19" ht="17" x14ac:dyDescent="0.2">
      <c r="B150" s="6" t="s">
        <v>529</v>
      </c>
      <c r="C150" s="4"/>
      <c r="D150" s="57">
        <f t="shared" ref="D150:M150" si="12">D$143+D$144+D$145+D$146+D$147+D$148+D$149</f>
        <v>1310.2</v>
      </c>
      <c r="E150" s="57">
        <f t="shared" si="12"/>
        <v>1310.2</v>
      </c>
      <c r="F150" s="57">
        <f t="shared" si="12"/>
        <v>1310.2</v>
      </c>
      <c r="G150" s="57">
        <f t="shared" si="12"/>
        <v>1310.2</v>
      </c>
      <c r="H150" s="57">
        <f t="shared" si="12"/>
        <v>1310.2</v>
      </c>
      <c r="I150" s="57">
        <f t="shared" si="12"/>
        <v>1310.2</v>
      </c>
      <c r="J150" s="57">
        <f t="shared" si="12"/>
        <v>1310.2</v>
      </c>
      <c r="K150" s="57">
        <f t="shared" si="12"/>
        <v>1310.2</v>
      </c>
      <c r="L150" s="57">
        <f t="shared" si="12"/>
        <v>1310.2</v>
      </c>
      <c r="M150" s="57">
        <f t="shared" si="12"/>
        <v>1310.2</v>
      </c>
      <c r="N150" s="54">
        <f t="shared" si="7"/>
        <v>13102.000000000002</v>
      </c>
      <c r="R150" s="4" t="s">
        <v>221</v>
      </c>
      <c r="S150" s="9" t="s">
        <v>134</v>
      </c>
    </row>
    <row r="151" spans="2:19" ht="17" x14ac:dyDescent="0.2">
      <c r="B151" s="35" t="s">
        <v>228</v>
      </c>
      <c r="C151" s="2" t="s">
        <v>530</v>
      </c>
      <c r="D151" s="26">
        <f t="shared" ref="D151:M151" si="13">D$150*(1+$D$37)</f>
        <v>1323.3020000000001</v>
      </c>
      <c r="E151" s="26">
        <f t="shared" si="13"/>
        <v>1323.3020000000001</v>
      </c>
      <c r="F151" s="26">
        <f t="shared" si="13"/>
        <v>1323.3020000000001</v>
      </c>
      <c r="G151" s="26">
        <f t="shared" si="13"/>
        <v>1323.3020000000001</v>
      </c>
      <c r="H151" s="26">
        <f t="shared" si="13"/>
        <v>1323.3020000000001</v>
      </c>
      <c r="I151" s="26">
        <f t="shared" si="13"/>
        <v>1323.3020000000001</v>
      </c>
      <c r="J151" s="26">
        <f t="shared" si="13"/>
        <v>1323.3020000000001</v>
      </c>
      <c r="K151" s="26">
        <f t="shared" si="13"/>
        <v>1323.3020000000001</v>
      </c>
      <c r="L151" s="26">
        <f t="shared" si="13"/>
        <v>1323.3020000000001</v>
      </c>
      <c r="M151" s="26">
        <f t="shared" si="13"/>
        <v>1323.3020000000001</v>
      </c>
      <c r="N151" s="26">
        <f t="shared" si="7"/>
        <v>13233.019999999999</v>
      </c>
      <c r="R151" s="2" t="s">
        <v>221</v>
      </c>
      <c r="S151" s="27" t="s">
        <v>531</v>
      </c>
    </row>
    <row r="153" spans="2:19" ht="16" x14ac:dyDescent="0.2">
      <c r="B153" s="49" t="s">
        <v>204</v>
      </c>
    </row>
    <row r="154" spans="2:19" ht="30" customHeight="1" x14ac:dyDescent="0.2">
      <c r="B154" s="6" t="s">
        <v>532</v>
      </c>
      <c r="C154" s="4" t="s">
        <v>432</v>
      </c>
      <c r="D154" s="57">
        <f>IF($D$109="Option B (inventory)",IF(1&lt;=$D$25,$D$108*D$115,0),IF(1&lt;=$D$25,D$136*IF($D$21="Track 1",Defaults!$C$20,Defaults!$C$21),0))</f>
        <v>900</v>
      </c>
      <c r="E154" s="57">
        <f>IF($D$109="Option B (inventory)",IF(2&lt;=$D$25,$D$108*E$115,0),IF(2&lt;=$D$25,E$136*IF($D$21="Track 1",Defaults!$C$20,Defaults!$C$21),0))</f>
        <v>900</v>
      </c>
      <c r="F154" s="57">
        <f>IF($D$109="Option B (inventory)",IF(3&lt;=$D$25,$D$108*F$115,0),IF(3&lt;=$D$25,F$136*IF($D$21="Track 1",Defaults!$C$20,Defaults!$C$21),0))</f>
        <v>900</v>
      </c>
      <c r="G154" s="57">
        <f>IF($D$109="Option B (inventory)",IF(4&lt;=$D$25,$D$108*G$115,0),IF(4&lt;=$D$25,G$136*IF($D$21="Track 1",Defaults!$C$20,Defaults!$C$21),0))</f>
        <v>900</v>
      </c>
      <c r="H154" s="57">
        <f>IF($D$109="Option B (inventory)",IF(5&lt;=$D$25,$D$108*H$115,0),IF(5&lt;=$D$25,H$136*IF($D$21="Track 1",Defaults!$C$20,Defaults!$C$21),0))</f>
        <v>900</v>
      </c>
      <c r="I154" s="57">
        <f>IF($D$109="Option B (inventory)",IF(6&lt;=$D$25,$D$108*I$115,0),IF(6&lt;=$D$25,I$136*IF($D$21="Track 1",Defaults!$C$20,Defaults!$C$21),0))</f>
        <v>0</v>
      </c>
      <c r="J154" s="57">
        <f>IF($D$109="Option B (inventory)",IF(7&lt;=$D$25,$D$108*J$115,0),IF(7&lt;=$D$25,J$136*IF($D$21="Track 1",Defaults!$C$20,Defaults!$C$21),0))</f>
        <v>0</v>
      </c>
      <c r="K154" s="57">
        <f>IF($D$109="Option B (inventory)",IF(8&lt;=$D$25,$D$108*K$115,0),IF(8&lt;=$D$25,K$136*IF($D$21="Track 1",Defaults!$C$20,Defaults!$C$21),0))</f>
        <v>0</v>
      </c>
      <c r="L154" s="57">
        <f>IF($D$109="Option B (inventory)",IF(9&lt;=$D$25,$D$108*L$115,0),IF(9&lt;=$D$25,L$136*IF($D$21="Track 1",Defaults!$C$20,Defaults!$C$21),0))</f>
        <v>0</v>
      </c>
      <c r="M154" s="57">
        <f>IF($D$109="Option B (inventory)",IF(10&lt;=$D$25,$D$108*M$115,0),IF(10&lt;=$D$25,M$136*IF($D$21="Track 1",Defaults!$C$20,Defaults!$C$21),0))</f>
        <v>0</v>
      </c>
      <c r="N154" s="54">
        <f t="shared" ref="N154:N159" si="14">SUM(D154:M154)</f>
        <v>4500</v>
      </c>
      <c r="R154" s="4" t="s">
        <v>221</v>
      </c>
      <c r="S154" s="9" t="s">
        <v>436</v>
      </c>
    </row>
    <row r="155" spans="2:19" ht="17" x14ac:dyDescent="0.2">
      <c r="B155" s="6" t="s">
        <v>533</v>
      </c>
      <c r="C155" s="4" t="s">
        <v>534</v>
      </c>
      <c r="D155" s="57">
        <f>IF($D$55="Yes",0,D$130*IF(LEFT($D$56,6)="Fodder",$D$57,INDEX(Defaults!$C$74:$C$79,MATCH($D$56,Defaults!$B$74:$B$79,0))))</f>
        <v>0</v>
      </c>
      <c r="E155" s="57">
        <f>IF($D$55="Yes",0,E$130*IF(LEFT($D$56,6)="Fodder",$D$57,INDEX(Defaults!$C$74:$C$79,MATCH($D$56,Defaults!$B$74:$B$79,0))))</f>
        <v>0</v>
      </c>
      <c r="F155" s="57">
        <f>IF($D$55="Yes",0,F$130*IF(LEFT($D$56,6)="Fodder",$D$57,INDEX(Defaults!$C$74:$C$79,MATCH($D$56,Defaults!$B$74:$B$79,0))))</f>
        <v>0</v>
      </c>
      <c r="G155" s="57">
        <f>IF($D$55="Yes",0,G$130*IF(LEFT($D$56,6)="Fodder",$D$57,INDEX(Defaults!$C$74:$C$79,MATCH($D$56,Defaults!$B$74:$B$79,0))))</f>
        <v>0</v>
      </c>
      <c r="H155" s="57">
        <f>IF($D$55="Yes",0,H$130*IF(LEFT($D$56,6)="Fodder",$D$57,INDEX(Defaults!$C$74:$C$79,MATCH($D$56,Defaults!$B$74:$B$79,0))))</f>
        <v>0</v>
      </c>
      <c r="I155" s="57">
        <f>IF($D$55="Yes",0,I$130*IF(LEFT($D$56,6)="Fodder",$D$57,INDEX(Defaults!$C$74:$C$79,MATCH($D$56,Defaults!$B$74:$B$79,0))))</f>
        <v>0</v>
      </c>
      <c r="J155" s="57">
        <f>IF($D$55="Yes",0,J$130*IF(LEFT($D$56,6)="Fodder",$D$57,INDEX(Defaults!$C$74:$C$79,MATCH($D$56,Defaults!$B$74:$B$79,0))))</f>
        <v>0</v>
      </c>
      <c r="K155" s="57">
        <f>IF($D$55="Yes",0,K$130*IF(LEFT($D$56,6)="Fodder",$D$57,INDEX(Defaults!$C$74:$C$79,MATCH($D$56,Defaults!$B$74:$B$79,0))))</f>
        <v>0</v>
      </c>
      <c r="L155" s="57">
        <f>IF($D$55="Yes",0,L$130*IF(LEFT($D$56,6)="Fodder",$D$57,INDEX(Defaults!$C$74:$C$79,MATCH($D$56,Defaults!$B$74:$B$79,0))))</f>
        <v>0</v>
      </c>
      <c r="M155" s="57">
        <f>IF($D$55="Yes",0,M$130*IF(LEFT($D$56,6)="Fodder",$D$57,INDEX(Defaults!$C$74:$C$79,MATCH($D$56,Defaults!$B$74:$B$79,0))))</f>
        <v>0</v>
      </c>
      <c r="N155" s="54">
        <f t="shared" si="14"/>
        <v>0</v>
      </c>
      <c r="R155" s="4" t="s">
        <v>221</v>
      </c>
      <c r="S155" s="9" t="s">
        <v>535</v>
      </c>
    </row>
    <row r="156" spans="2:19" ht="30" customHeight="1" x14ac:dyDescent="0.2">
      <c r="B156" s="6" t="s">
        <v>536</v>
      </c>
      <c r="C156" s="4"/>
      <c r="D156" s="57">
        <f>IF(AND(LEFT($D$23,2)="F1",LEFT($D$58,8)="Retained"),D$137*Defaults!$C$32,0)</f>
        <v>0</v>
      </c>
      <c r="E156" s="57">
        <f>IF(AND(LEFT($D$23,2)="F1",LEFT($D$58,8)="Retained"),E$137*Defaults!$C$32,0)</f>
        <v>0</v>
      </c>
      <c r="F156" s="57">
        <f>IF(AND(LEFT($D$23,2)="F1",LEFT($D$58,8)="Retained"),F$137*Defaults!$C$32,0)</f>
        <v>0</v>
      </c>
      <c r="G156" s="57">
        <f>IF(AND(LEFT($D$23,2)="F1",LEFT($D$58,8)="Retained"),G$137*Defaults!$C$32,0)</f>
        <v>0</v>
      </c>
      <c r="H156" s="57">
        <f>IF(AND(LEFT($D$23,2)="F1",LEFT($D$58,8)="Retained"),H$137*Defaults!$C$32,0)</f>
        <v>0</v>
      </c>
      <c r="I156" s="57">
        <f>IF(AND(LEFT($D$23,2)="F1",LEFT($D$58,8)="Retained"),I$137*Defaults!$C$32,0)</f>
        <v>0</v>
      </c>
      <c r="J156" s="57">
        <f>IF(AND(LEFT($D$23,2)="F1",LEFT($D$58,8)="Retained"),J$137*Defaults!$C$32,0)</f>
        <v>0</v>
      </c>
      <c r="K156" s="57">
        <f>IF(AND(LEFT($D$23,2)="F1",LEFT($D$58,8)="Retained"),K$137*Defaults!$C$32,0)</f>
        <v>0</v>
      </c>
      <c r="L156" s="57">
        <f>IF(AND(LEFT($D$23,2)="F1",LEFT($D$58,8)="Retained"),L$137*Defaults!$C$32,0)</f>
        <v>0</v>
      </c>
      <c r="M156" s="57">
        <f>IF(AND(LEFT($D$23,2)="F1",LEFT($D$58,8)="Retained"),M$137*Defaults!$C$32,0)</f>
        <v>0</v>
      </c>
      <c r="N156" s="54">
        <f t="shared" si="14"/>
        <v>0</v>
      </c>
      <c r="R156" s="4" t="s">
        <v>221</v>
      </c>
      <c r="S156" s="9" t="s">
        <v>537</v>
      </c>
    </row>
    <row r="157" spans="2:19" ht="30" customHeight="1" x14ac:dyDescent="0.2">
      <c r="B157" s="6" t="s">
        <v>538</v>
      </c>
      <c r="C157" s="4"/>
      <c r="D157" s="57">
        <f>IF(LEFT($D$23,2)&lt;&gt;"F1",0,IF(LEFT($D$58,7)="Removed",0,D$137*(IF(LEFT($D$58,8)="Retained",$D$65*Defaults!$C$33,0)+(1-$D$68)*($D$66*Defaults!$C$43+$D$67*Defaults!$C$44))))</f>
        <v>0</v>
      </c>
      <c r="E157" s="57">
        <f>IF(LEFT($D$23,2)&lt;&gt;"F1",0,IF(LEFT($D$58,7)="Removed",0,E$137*(IF(LEFT($D$58,8)="Retained",$D$65*Defaults!$C$33,0)+(1-$D$68)*($D$66*Defaults!$C$43+$D$67*Defaults!$C$44))))</f>
        <v>0</v>
      </c>
      <c r="F157" s="57">
        <f>IF(LEFT($D$23,2)&lt;&gt;"F1",0,IF(LEFT($D$58,7)="Removed",0,F$137*(IF(LEFT($D$58,8)="Retained",$D$65*Defaults!$C$33,0)+(1-$D$68)*($D$66*Defaults!$C$43+$D$67*Defaults!$C$44))))</f>
        <v>0</v>
      </c>
      <c r="G157" s="57">
        <f>IF(LEFT($D$23,2)&lt;&gt;"F1",0,IF(LEFT($D$58,7)="Removed",0,G$137*(IF(LEFT($D$58,8)="Retained",$D$65*Defaults!$C$33,0)+(1-$D$68)*($D$66*Defaults!$C$43+$D$67*Defaults!$C$44))))</f>
        <v>0</v>
      </c>
      <c r="H157" s="57">
        <f>IF(LEFT($D$23,2)&lt;&gt;"F1",0,IF(LEFT($D$58,7)="Removed",0,H$137*(IF(LEFT($D$58,8)="Retained",$D$65*Defaults!$C$33,0)+(1-$D$68)*($D$66*Defaults!$C$43+$D$67*Defaults!$C$44))))</f>
        <v>0</v>
      </c>
      <c r="I157" s="57">
        <f>IF(LEFT($D$23,2)&lt;&gt;"F1",0,IF(LEFT($D$58,7)="Removed",0,I$137*(IF(LEFT($D$58,8)="Retained",$D$65*Defaults!$C$33,0)+(1-$D$68)*($D$66*Defaults!$C$43+$D$67*Defaults!$C$44))))</f>
        <v>0</v>
      </c>
      <c r="J157" s="57">
        <f>IF(LEFT($D$23,2)&lt;&gt;"F1",0,IF(LEFT($D$58,7)="Removed",0,J$137*(IF(LEFT($D$58,8)="Retained",$D$65*Defaults!$C$33,0)+(1-$D$68)*($D$66*Defaults!$C$43+$D$67*Defaults!$C$44))))</f>
        <v>0</v>
      </c>
      <c r="K157" s="57">
        <f>IF(LEFT($D$23,2)&lt;&gt;"F1",0,IF(LEFT($D$58,7)="Removed",0,K$137*(IF(LEFT($D$58,8)="Retained",$D$65*Defaults!$C$33,0)+(1-$D$68)*($D$66*Defaults!$C$43+$D$67*Defaults!$C$44))))</f>
        <v>0</v>
      </c>
      <c r="L157" s="57">
        <f>IF(LEFT($D$23,2)&lt;&gt;"F1",0,IF(LEFT($D$58,7)="Removed",0,L$137*(IF(LEFT($D$58,8)="Retained",$D$65*Defaults!$C$33,0)+(1-$D$68)*($D$66*Defaults!$C$43+$D$67*Defaults!$C$44))))</f>
        <v>0</v>
      </c>
      <c r="M157" s="57">
        <f>IF(LEFT($D$23,2)&lt;&gt;"F1",0,IF(LEFT($D$58,7)="Removed",0,M$137*(IF(LEFT($D$58,8)="Retained",$D$65*Defaults!$C$33,0)+(1-$D$68)*($D$66*Defaults!$C$43+$D$67*Defaults!$C$44))))</f>
        <v>0</v>
      </c>
      <c r="N157" s="54">
        <f t="shared" si="14"/>
        <v>0</v>
      </c>
      <c r="R157" s="4" t="s">
        <v>221</v>
      </c>
      <c r="S157" s="9" t="s">
        <v>539</v>
      </c>
    </row>
    <row r="158" spans="2:19" ht="17" x14ac:dyDescent="0.2">
      <c r="B158" s="6" t="s">
        <v>540</v>
      </c>
      <c r="C158" s="4"/>
      <c r="D158" s="57">
        <f t="shared" ref="D158:M158" si="15">D$154+D$155+D$156+D$157</f>
        <v>900</v>
      </c>
      <c r="E158" s="57">
        <f t="shared" si="15"/>
        <v>900</v>
      </c>
      <c r="F158" s="57">
        <f t="shared" si="15"/>
        <v>900</v>
      </c>
      <c r="G158" s="57">
        <f t="shared" si="15"/>
        <v>900</v>
      </c>
      <c r="H158" s="57">
        <f t="shared" si="15"/>
        <v>900</v>
      </c>
      <c r="I158" s="57">
        <f t="shared" si="15"/>
        <v>0</v>
      </c>
      <c r="J158" s="57">
        <f t="shared" si="15"/>
        <v>0</v>
      </c>
      <c r="K158" s="57">
        <f t="shared" si="15"/>
        <v>0</v>
      </c>
      <c r="L158" s="57">
        <f t="shared" si="15"/>
        <v>0</v>
      </c>
      <c r="M158" s="57">
        <f t="shared" si="15"/>
        <v>0</v>
      </c>
      <c r="N158" s="54">
        <f t="shared" si="14"/>
        <v>4500</v>
      </c>
      <c r="R158" s="4" t="s">
        <v>221</v>
      </c>
      <c r="S158" s="9" t="s">
        <v>230</v>
      </c>
    </row>
    <row r="159" spans="2:19" ht="17" x14ac:dyDescent="0.2">
      <c r="B159" s="35" t="s">
        <v>229</v>
      </c>
      <c r="C159" s="2" t="s">
        <v>541</v>
      </c>
      <c r="D159" s="26">
        <f t="shared" ref="D159:M159" si="16">D$158*(1+$D$38)</f>
        <v>900</v>
      </c>
      <c r="E159" s="26">
        <f t="shared" si="16"/>
        <v>900</v>
      </c>
      <c r="F159" s="26">
        <f t="shared" si="16"/>
        <v>900</v>
      </c>
      <c r="G159" s="26">
        <f t="shared" si="16"/>
        <v>900</v>
      </c>
      <c r="H159" s="26">
        <f t="shared" si="16"/>
        <v>900</v>
      </c>
      <c r="I159" s="26">
        <f t="shared" si="16"/>
        <v>0</v>
      </c>
      <c r="J159" s="26">
        <f t="shared" si="16"/>
        <v>0</v>
      </c>
      <c r="K159" s="26">
        <f t="shared" si="16"/>
        <v>0</v>
      </c>
      <c r="L159" s="26">
        <f t="shared" si="16"/>
        <v>0</v>
      </c>
      <c r="M159" s="26">
        <f t="shared" si="16"/>
        <v>0</v>
      </c>
      <c r="N159" s="26">
        <f t="shared" si="14"/>
        <v>4500</v>
      </c>
      <c r="R159" s="2" t="s">
        <v>221</v>
      </c>
      <c r="S159" s="27" t="s">
        <v>542</v>
      </c>
    </row>
    <row r="161" spans="2:19" ht="16" x14ac:dyDescent="0.2">
      <c r="B161" s="49" t="s">
        <v>543</v>
      </c>
    </row>
    <row r="162" spans="2:19" ht="17" x14ac:dyDescent="0.2">
      <c r="B162" s="6" t="s">
        <v>544</v>
      </c>
      <c r="C162" s="4" t="s">
        <v>545</v>
      </c>
      <c r="D162" s="21">
        <f>0</f>
        <v>0</v>
      </c>
      <c r="E162" s="21">
        <f>0</f>
        <v>0</v>
      </c>
      <c r="F162" s="21">
        <f>0</f>
        <v>0</v>
      </c>
      <c r="G162" s="21">
        <f>0</f>
        <v>0</v>
      </c>
      <c r="H162" s="21">
        <f>0</f>
        <v>0</v>
      </c>
      <c r="I162" s="21">
        <f>0</f>
        <v>0</v>
      </c>
      <c r="J162" s="21">
        <f>0</f>
        <v>0</v>
      </c>
      <c r="K162" s="21">
        <f>0</f>
        <v>0</v>
      </c>
      <c r="L162" s="21">
        <f>0</f>
        <v>0</v>
      </c>
      <c r="M162" s="21">
        <f>0</f>
        <v>0</v>
      </c>
      <c r="N162" s="52">
        <f>SUM(D162:M162)</f>
        <v>0</v>
      </c>
      <c r="R162" s="4" t="s">
        <v>221</v>
      </c>
      <c r="S162" s="9" t="s">
        <v>118</v>
      </c>
    </row>
    <row r="163" spans="2:19" ht="17" x14ac:dyDescent="0.2">
      <c r="B163" s="6" t="s">
        <v>546</v>
      </c>
      <c r="C163" s="4" t="s">
        <v>547</v>
      </c>
      <c r="D163" s="21">
        <f t="shared" ref="D163:M163" si="17">D$151+D$159</f>
        <v>2223.3020000000001</v>
      </c>
      <c r="E163" s="21">
        <f t="shared" si="17"/>
        <v>2223.3020000000001</v>
      </c>
      <c r="F163" s="21">
        <f t="shared" si="17"/>
        <v>2223.3020000000001</v>
      </c>
      <c r="G163" s="21">
        <f t="shared" si="17"/>
        <v>2223.3020000000001</v>
      </c>
      <c r="H163" s="21">
        <f t="shared" si="17"/>
        <v>2223.3020000000001</v>
      </c>
      <c r="I163" s="21">
        <f t="shared" si="17"/>
        <v>1323.3020000000001</v>
      </c>
      <c r="J163" s="21">
        <f t="shared" si="17"/>
        <v>1323.3020000000001</v>
      </c>
      <c r="K163" s="21">
        <f t="shared" si="17"/>
        <v>1323.3020000000001</v>
      </c>
      <c r="L163" s="21">
        <f t="shared" si="17"/>
        <v>1323.3020000000001</v>
      </c>
      <c r="M163" s="21">
        <f t="shared" si="17"/>
        <v>1323.3020000000001</v>
      </c>
      <c r="N163" s="52">
        <f>SUM(D163:M163)</f>
        <v>17733.02</v>
      </c>
      <c r="R163" s="4" t="s">
        <v>221</v>
      </c>
      <c r="S163" s="9" t="s">
        <v>548</v>
      </c>
    </row>
    <row r="164" spans="2:19" ht="30" customHeight="1" x14ac:dyDescent="0.2">
      <c r="B164" s="6" t="s">
        <v>549</v>
      </c>
      <c r="C164" s="4" t="s">
        <v>550</v>
      </c>
      <c r="D164" s="58">
        <f>0</f>
        <v>0</v>
      </c>
      <c r="E164" s="58">
        <f t="shared" ref="E164:M164" si="18">IF(D$165&lt;0,D$165,IF(D$167="Fail",MAX(0,D$165),0))</f>
        <v>0</v>
      </c>
      <c r="F164" s="58">
        <f t="shared" si="18"/>
        <v>0</v>
      </c>
      <c r="G164" s="58">
        <f t="shared" si="18"/>
        <v>0</v>
      </c>
      <c r="H164" s="58">
        <f t="shared" si="18"/>
        <v>0</v>
      </c>
      <c r="I164" s="58">
        <f t="shared" si="18"/>
        <v>0</v>
      </c>
      <c r="J164" s="58">
        <f t="shared" si="18"/>
        <v>0</v>
      </c>
      <c r="K164" s="58">
        <f t="shared" si="18"/>
        <v>0</v>
      </c>
      <c r="L164" s="58">
        <f t="shared" si="18"/>
        <v>0</v>
      </c>
      <c r="M164" s="58">
        <f t="shared" si="18"/>
        <v>0</v>
      </c>
      <c r="R164" s="4" t="s">
        <v>221</v>
      </c>
      <c r="S164" s="9" t="s">
        <v>551</v>
      </c>
    </row>
    <row r="165" spans="2:19" ht="17" x14ac:dyDescent="0.2">
      <c r="B165" s="35" t="s">
        <v>552</v>
      </c>
      <c r="C165" s="2" t="s">
        <v>553</v>
      </c>
      <c r="D165" s="59">
        <f t="shared" ref="D165:M165" si="19">D$140-D$162-D$163+D$164</f>
        <v>7105.638643792443</v>
      </c>
      <c r="E165" s="59">
        <f t="shared" si="19"/>
        <v>7105.638643792443</v>
      </c>
      <c r="F165" s="59">
        <f t="shared" si="19"/>
        <v>7105.638643792443</v>
      </c>
      <c r="G165" s="59">
        <f t="shared" si="19"/>
        <v>7105.638643792443</v>
      </c>
      <c r="H165" s="59">
        <f t="shared" si="19"/>
        <v>7105.638643792443</v>
      </c>
      <c r="I165" s="59">
        <f t="shared" si="19"/>
        <v>8005.638643792443</v>
      </c>
      <c r="J165" s="59">
        <f t="shared" si="19"/>
        <v>8005.638643792443</v>
      </c>
      <c r="K165" s="59">
        <f t="shared" si="19"/>
        <v>8005.638643792443</v>
      </c>
      <c r="L165" s="59">
        <f t="shared" si="19"/>
        <v>8005.638643792443</v>
      </c>
      <c r="M165" s="59">
        <f t="shared" si="19"/>
        <v>8005.638643792443</v>
      </c>
      <c r="R165" s="2" t="s">
        <v>221</v>
      </c>
      <c r="S165" s="27" t="s">
        <v>554</v>
      </c>
    </row>
    <row r="166" spans="2:19" ht="17" x14ac:dyDescent="0.2">
      <c r="B166" s="6" t="s">
        <v>555</v>
      </c>
      <c r="C166" s="4" t="s">
        <v>556</v>
      </c>
      <c r="D166" s="60">
        <f t="shared" ref="D166:M166" si="20">IF(D$150&gt;0,D$139/D$150,IF(D$139&gt;0,999,0))</f>
        <v>7.5930392306518169</v>
      </c>
      <c r="E166" s="60">
        <f t="shared" si="20"/>
        <v>7.5930392306518169</v>
      </c>
      <c r="F166" s="60">
        <f t="shared" si="20"/>
        <v>7.5930392306518169</v>
      </c>
      <c r="G166" s="60">
        <f t="shared" si="20"/>
        <v>7.5930392306518169</v>
      </c>
      <c r="H166" s="60">
        <f t="shared" si="20"/>
        <v>7.5930392306518169</v>
      </c>
      <c r="I166" s="60">
        <f t="shared" si="20"/>
        <v>7.5930392306518169</v>
      </c>
      <c r="J166" s="60">
        <f t="shared" si="20"/>
        <v>7.5930392306518169</v>
      </c>
      <c r="K166" s="60">
        <f t="shared" si="20"/>
        <v>7.5930392306518169</v>
      </c>
      <c r="L166" s="60">
        <f t="shared" si="20"/>
        <v>7.5930392306518169</v>
      </c>
      <c r="M166" s="60">
        <f t="shared" si="20"/>
        <v>7.5930392306518169</v>
      </c>
      <c r="R166" s="4" t="s">
        <v>382</v>
      </c>
      <c r="S166" s="9" t="s">
        <v>514</v>
      </c>
    </row>
    <row r="167" spans="2:19" ht="17" x14ac:dyDescent="0.2">
      <c r="B167" s="6" t="s">
        <v>557</v>
      </c>
      <c r="C167" s="4"/>
      <c r="D167" s="4" t="str">
        <f>IF(D$115=0,"n/a",IF(D$166&gt;=Defaults!$C$6,"Pass","Fail"))</f>
        <v>Pass</v>
      </c>
      <c r="E167" s="4" t="str">
        <f>IF(E$115=0,"n/a",IF(E$166&gt;=Defaults!$C$6,"Pass","Fail"))</f>
        <v>Pass</v>
      </c>
      <c r="F167" s="4" t="str">
        <f>IF(F$115=0,"n/a",IF(F$166&gt;=Defaults!$C$6,"Pass","Fail"))</f>
        <v>Pass</v>
      </c>
      <c r="G167" s="4" t="str">
        <f>IF(G$115=0,"n/a",IF(G$166&gt;=Defaults!$C$6,"Pass","Fail"))</f>
        <v>Pass</v>
      </c>
      <c r="H167" s="4" t="str">
        <f>IF(H$115=0,"n/a",IF(H$166&gt;=Defaults!$C$6,"Pass","Fail"))</f>
        <v>Pass</v>
      </c>
      <c r="I167" s="4" t="str">
        <f>IF(I$115=0,"n/a",IF(I$166&gt;=Defaults!$C$6,"Pass","Fail"))</f>
        <v>Pass</v>
      </c>
      <c r="J167" s="4" t="str">
        <f>IF(J$115=0,"n/a",IF(J$166&gt;=Defaults!$C$6,"Pass","Fail"))</f>
        <v>Pass</v>
      </c>
      <c r="K167" s="4" t="str">
        <f>IF(K$115=0,"n/a",IF(K$166&gt;=Defaults!$C$6,"Pass","Fail"))</f>
        <v>Pass</v>
      </c>
      <c r="L167" s="4" t="str">
        <f>IF(L$115=0,"n/a",IF(L$166&gt;=Defaults!$C$6,"Pass","Fail"))</f>
        <v>Pass</v>
      </c>
      <c r="M167" s="4" t="str">
        <f>IF(M$115=0,"n/a",IF(M$166&gt;=Defaults!$C$6,"Pass","Fail"))</f>
        <v>Pass</v>
      </c>
      <c r="N167" s="61">
        <f>COUNTIF(D167:M167,"Fail")</f>
        <v>0</v>
      </c>
      <c r="R167" s="4"/>
      <c r="S167" s="9" t="s">
        <v>163</v>
      </c>
    </row>
    <row r="168" spans="2:19" ht="17" x14ac:dyDescent="0.2">
      <c r="B168" s="6" t="s">
        <v>558</v>
      </c>
      <c r="C168" s="4" t="s">
        <v>559</v>
      </c>
      <c r="D168" s="21">
        <f t="shared" ref="D168:M168" si="21">IF(D$167="Pass",MAX(0,D$165)*$D$46,0)</f>
        <v>177.64096609481109</v>
      </c>
      <c r="E168" s="21">
        <f t="shared" si="21"/>
        <v>177.64096609481109</v>
      </c>
      <c r="F168" s="21">
        <f t="shared" si="21"/>
        <v>177.64096609481109</v>
      </c>
      <c r="G168" s="21">
        <f t="shared" si="21"/>
        <v>177.64096609481109</v>
      </c>
      <c r="H168" s="21">
        <f t="shared" si="21"/>
        <v>177.64096609481109</v>
      </c>
      <c r="I168" s="21">
        <f t="shared" si="21"/>
        <v>200.14096609481109</v>
      </c>
      <c r="J168" s="21">
        <f t="shared" si="21"/>
        <v>200.14096609481109</v>
      </c>
      <c r="K168" s="21">
        <f t="shared" si="21"/>
        <v>200.14096609481109</v>
      </c>
      <c r="L168" s="21">
        <f t="shared" si="21"/>
        <v>200.14096609481109</v>
      </c>
      <c r="M168" s="21">
        <f t="shared" si="21"/>
        <v>200.14096609481109</v>
      </c>
      <c r="N168" s="52">
        <f>SUM(D168:M168)</f>
        <v>1888.909660948111</v>
      </c>
      <c r="R168" s="4" t="s">
        <v>221</v>
      </c>
      <c r="S168" s="9" t="s">
        <v>560</v>
      </c>
    </row>
    <row r="169" spans="2:19" ht="17" x14ac:dyDescent="0.2">
      <c r="B169" s="6" t="s">
        <v>233</v>
      </c>
      <c r="C169" s="4" t="s">
        <v>561</v>
      </c>
      <c r="D169" s="21">
        <f t="shared" ref="D169:M169" si="22">IF(D$167="Pass",MAX(0,D$165)*D$132,0)</f>
        <v>88.820483047405546</v>
      </c>
      <c r="E169" s="21">
        <f t="shared" si="22"/>
        <v>88.820483047405546</v>
      </c>
      <c r="F169" s="21">
        <f t="shared" si="22"/>
        <v>88.820483047405546</v>
      </c>
      <c r="G169" s="21">
        <f t="shared" si="22"/>
        <v>88.820483047405546</v>
      </c>
      <c r="H169" s="21">
        <f t="shared" si="22"/>
        <v>88.820483047405546</v>
      </c>
      <c r="I169" s="21">
        <f t="shared" si="22"/>
        <v>100.07048304740555</v>
      </c>
      <c r="J169" s="21">
        <f t="shared" si="22"/>
        <v>100.07048304740555</v>
      </c>
      <c r="K169" s="21">
        <f t="shared" si="22"/>
        <v>100.07048304740555</v>
      </c>
      <c r="L169" s="21">
        <f t="shared" si="22"/>
        <v>100.07048304740555</v>
      </c>
      <c r="M169" s="21">
        <f t="shared" si="22"/>
        <v>100.07048304740555</v>
      </c>
      <c r="N169" s="52">
        <f>SUM(D169:M169)</f>
        <v>944.45483047405548</v>
      </c>
      <c r="R169" s="4" t="s">
        <v>221</v>
      </c>
      <c r="S169" s="9" t="s">
        <v>562</v>
      </c>
    </row>
    <row r="170" spans="2:19" ht="17" x14ac:dyDescent="0.2">
      <c r="B170" s="6" t="s">
        <v>563</v>
      </c>
      <c r="C170" s="4" t="s">
        <v>564</v>
      </c>
      <c r="D170" s="21">
        <f t="shared" ref="D170:M170" si="23">IF(D$167="Pass",MAX(0,D$165-D$168-D$169),0)</f>
        <v>6839.1771946502267</v>
      </c>
      <c r="E170" s="21">
        <f t="shared" si="23"/>
        <v>6839.1771946502267</v>
      </c>
      <c r="F170" s="21">
        <f t="shared" si="23"/>
        <v>6839.1771946502267</v>
      </c>
      <c r="G170" s="21">
        <f t="shared" si="23"/>
        <v>6839.1771946502267</v>
      </c>
      <c r="H170" s="21">
        <f t="shared" si="23"/>
        <v>6839.1771946502267</v>
      </c>
      <c r="I170" s="21">
        <f t="shared" si="23"/>
        <v>7705.4271946502267</v>
      </c>
      <c r="J170" s="21">
        <f t="shared" si="23"/>
        <v>7705.4271946502267</v>
      </c>
      <c r="K170" s="21">
        <f t="shared" si="23"/>
        <v>7705.4271946502267</v>
      </c>
      <c r="L170" s="21">
        <f t="shared" si="23"/>
        <v>7705.4271946502267</v>
      </c>
      <c r="M170" s="21">
        <f t="shared" si="23"/>
        <v>7705.4271946502267</v>
      </c>
      <c r="N170" s="52">
        <f>SUM(D170:M170)</f>
        <v>72723.021946502267</v>
      </c>
      <c r="R170" s="4" t="s">
        <v>221</v>
      </c>
      <c r="S170" s="9" t="s">
        <v>565</v>
      </c>
    </row>
    <row r="171" spans="2:19" ht="30" customHeight="1" x14ac:dyDescent="0.2">
      <c r="B171" s="35" t="s">
        <v>566</v>
      </c>
      <c r="C171" s="2" t="s">
        <v>567</v>
      </c>
      <c r="D171" s="26">
        <f>IF($D$21="Track 1",MIN(Defaults!$C$46,D$170),D$170)</f>
        <v>6839.1771946502267</v>
      </c>
      <c r="E171" s="26">
        <f>IF($D$21="Track 1",MIN(Defaults!$C$46,E$170),E$170)</f>
        <v>6839.1771946502267</v>
      </c>
      <c r="F171" s="26">
        <f>IF($D$21="Track 1",MIN(Defaults!$C$46,F$170),F$170)</f>
        <v>6839.1771946502267</v>
      </c>
      <c r="G171" s="26">
        <f>IF($D$21="Track 1",MIN(Defaults!$C$46,G$170),G$170)</f>
        <v>6839.1771946502267</v>
      </c>
      <c r="H171" s="26">
        <f>IF($D$21="Track 1",MIN(Defaults!$C$46,H$170),H$170)</f>
        <v>6839.1771946502267</v>
      </c>
      <c r="I171" s="26">
        <f>IF($D$21="Track 1",MIN(Defaults!$C$46,I$170),I$170)</f>
        <v>7705.4271946502267</v>
      </c>
      <c r="J171" s="26">
        <f>IF($D$21="Track 1",MIN(Defaults!$C$46,J$170),J$170)</f>
        <v>7705.4271946502267</v>
      </c>
      <c r="K171" s="26">
        <f>IF($D$21="Track 1",MIN(Defaults!$C$46,K$170),K$170)</f>
        <v>7705.4271946502267</v>
      </c>
      <c r="L171" s="26">
        <f>IF($D$21="Track 1",MIN(Defaults!$C$46,L$170),L$170)</f>
        <v>7705.4271946502267</v>
      </c>
      <c r="M171" s="26">
        <f>IF($D$21="Track 1",MIN(Defaults!$C$46,M$170),M$170)</f>
        <v>7705.4271946502267</v>
      </c>
      <c r="N171" s="26">
        <f>SUM(D171:M171)</f>
        <v>72723.021946502267</v>
      </c>
      <c r="R171" s="2" t="s">
        <v>221</v>
      </c>
      <c r="S171" s="27" t="s">
        <v>568</v>
      </c>
    </row>
    <row r="172" spans="2:19" ht="30" customHeight="1" x14ac:dyDescent="0.2">
      <c r="B172" s="6" t="s">
        <v>569</v>
      </c>
      <c r="C172" s="4"/>
      <c r="D172" s="21">
        <f t="shared" ref="D172:M172" si="24">D$170-D$171</f>
        <v>0</v>
      </c>
      <c r="E172" s="21">
        <f t="shared" si="24"/>
        <v>0</v>
      </c>
      <c r="F172" s="21">
        <f t="shared" si="24"/>
        <v>0</v>
      </c>
      <c r="G172" s="21">
        <f t="shared" si="24"/>
        <v>0</v>
      </c>
      <c r="H172" s="21">
        <f t="shared" si="24"/>
        <v>0</v>
      </c>
      <c r="I172" s="21">
        <f t="shared" si="24"/>
        <v>0</v>
      </c>
      <c r="J172" s="21">
        <f t="shared" si="24"/>
        <v>0</v>
      </c>
      <c r="K172" s="21">
        <f t="shared" si="24"/>
        <v>0</v>
      </c>
      <c r="L172" s="21">
        <f t="shared" si="24"/>
        <v>0</v>
      </c>
      <c r="M172" s="21">
        <f t="shared" si="24"/>
        <v>0</v>
      </c>
      <c r="N172" s="52">
        <f>SUM(D172:M172)</f>
        <v>0</v>
      </c>
      <c r="R172" s="4" t="s">
        <v>221</v>
      </c>
      <c r="S172" s="9" t="s">
        <v>240</v>
      </c>
    </row>
  </sheetData>
  <sheetProtection password="8666" sheet="1" formatColumns="0" formatRows="0"/>
  <mergeCells count="1">
    <mergeCell ref="B3:F3"/>
  </mergeCells>
  <pageMargins left="0.75" right="0.75" top="1" bottom="1" header="0.511811023622047" footer="0.511811023622047"/>
  <pageSetup paperSize="9" orientation="portrait" horizontalDpi="300" verticalDpi="300"/>
  <extLst>
    <ext xmlns:x14="http://schemas.microsoft.com/office/spreadsheetml/2009/9/main" uri="{CCE6A557-97BC-4b89-ADB6-D9C93CAAB3DF}">
      <x14:dataValidations xmlns:xm="http://schemas.microsoft.com/office/excel/2006/main" count="18">
        <x14:dataValidation type="list" xr:uid="{00000000-0002-0000-0B00-000000000000}">
          <x14:formula1>
            <xm:f>Lists!$B$2:$B$4</xm:f>
          </x14:formula1>
          <x14:formula2>
            <xm:f>0</xm:f>
          </x14:formula2>
          <xm:sqref>D21</xm:sqref>
        </x14:dataValidation>
        <x14:dataValidation type="list" xr:uid="{00000000-0002-0000-0B00-000001000000}">
          <x14:formula1>
            <xm:f>Lists!$C$2:$C$4</xm:f>
          </x14:formula1>
          <x14:formula2>
            <xm:f>0</xm:f>
          </x14:formula2>
          <xm:sqref>D22</xm:sqref>
        </x14:dataValidation>
        <x14:dataValidation type="list" xr:uid="{00000000-0002-0000-0B00-000002000000}">
          <x14:formula1>
            <xm:f>Lists!$D$2:$D$7</xm:f>
          </x14:formula1>
          <x14:formula2>
            <xm:f>0</xm:f>
          </x14:formula2>
          <xm:sqref>D23</xm:sqref>
        </x14:dataValidation>
        <x14:dataValidation type="list" xr:uid="{00000000-0002-0000-0B00-000003000000}">
          <x14:formula1>
            <xm:f>Lists!$J$2:$J$3</xm:f>
          </x14:formula1>
          <x14:formula2>
            <xm:f>0</xm:f>
          </x14:formula2>
          <xm:sqref>D30 D90 D55</xm:sqref>
        </x14:dataValidation>
        <x14:dataValidation type="list" xr:uid="{00000000-0002-0000-0B00-000004000000}">
          <x14:formula1>
            <xm:f>Lists!$P$2:$P$3</xm:f>
          </x14:formula1>
          <x14:formula2>
            <xm:f>0</xm:f>
          </x14:formula2>
          <xm:sqref>D45</xm:sqref>
        </x14:dataValidation>
        <x14:dataValidation type="list" xr:uid="{00000000-0002-0000-0B00-000005000000}">
          <x14:formula1>
            <xm:f>Defaults!$B$52:$B$57</xm:f>
          </x14:formula1>
          <x14:formula2>
            <xm:f>0</xm:f>
          </x14:formula2>
          <xm:sqref>D50</xm:sqref>
        </x14:dataValidation>
        <x14:dataValidation type="list" xr:uid="{00000000-0002-0000-0B00-000006000000}">
          <x14:formula1>
            <xm:f>Lists!$I$2:$I$3</xm:f>
          </x14:formula1>
          <x14:formula2>
            <xm:f>0</xm:f>
          </x14:formula2>
          <xm:sqref>D51</xm:sqref>
        </x14:dataValidation>
        <x14:dataValidation type="list" xr:uid="{00000000-0002-0000-0B00-000007000000}">
          <x14:formula1>
            <xm:f>Lists!$G$2:$G$4</xm:f>
          </x14:formula1>
          <x14:formula2>
            <xm:f>0</xm:f>
          </x14:formula2>
          <xm:sqref>D54</xm:sqref>
        </x14:dataValidation>
        <x14:dataValidation type="list" xr:uid="{00000000-0002-0000-0B00-000009000000}">
          <x14:formula1>
            <xm:f>Defaults!$B$74:$B$79</xm:f>
          </x14:formula1>
          <x14:formula2>
            <xm:f>0</xm:f>
          </x14:formula2>
          <xm:sqref>D56</xm:sqref>
        </x14:dataValidation>
        <x14:dataValidation type="list" xr:uid="{00000000-0002-0000-0B00-00000A000000}">
          <x14:formula1>
            <xm:f>Lists!$L$2:$L$4</xm:f>
          </x14:formula1>
          <x14:formula2>
            <xm:f>0</xm:f>
          </x14:formula2>
          <xm:sqref>D58</xm:sqref>
        </x14:dataValidation>
        <x14:dataValidation type="list" xr:uid="{00000000-0002-0000-0B00-00000B000000}">
          <x14:formula1>
            <xm:f>Lists!$O$2:$O$5</xm:f>
          </x14:formula1>
          <x14:formula2>
            <xm:f>0</xm:f>
          </x14:formula2>
          <xm:sqref>D61</xm:sqref>
        </x14:dataValidation>
        <x14:dataValidation type="list" xr:uid="{00000000-0002-0000-0B00-00000C000000}">
          <x14:formula1>
            <xm:f>Lists!$Q$2:$Q$4</xm:f>
          </x14:formula1>
          <x14:formula2>
            <xm:f>0</xm:f>
          </x14:formula2>
          <xm:sqref>D69</xm:sqref>
        </x14:dataValidation>
        <x14:dataValidation type="list" xr:uid="{00000000-0002-0000-0B00-00000D000000}">
          <x14:formula1>
            <xm:f>Lists!$K$2:$K$3</xm:f>
          </x14:formula1>
          <x14:formula2>
            <xm:f>0</xm:f>
          </x14:formula2>
          <xm:sqref>D74</xm:sqref>
        </x14:dataValidation>
        <x14:dataValidation type="list" xr:uid="{00000000-0002-0000-0B00-00000E000000}">
          <x14:formula1>
            <xm:f>Lists!$E$2:$E$3</xm:f>
          </x14:formula1>
          <x14:formula2>
            <xm:f>0</xm:f>
          </x14:formula2>
          <xm:sqref>D77</xm:sqref>
        </x14:dataValidation>
        <x14:dataValidation type="list" xr:uid="{00000000-0002-0000-0B00-00000F000000}">
          <x14:formula1>
            <xm:f>Lists!$F$2:$F$4</xm:f>
          </x14:formula1>
          <x14:formula2>
            <xm:f>0</xm:f>
          </x14:formula2>
          <xm:sqref>D84</xm:sqref>
        </x14:dataValidation>
        <x14:dataValidation type="list" xr:uid="{00000000-0002-0000-0B00-000010000000}">
          <x14:formula1>
            <xm:f>Defaults!$B$67:$B$70</xm:f>
          </x14:formula1>
          <x14:formula2>
            <xm:f>0</xm:f>
          </x14:formula2>
          <xm:sqref>D89</xm:sqref>
        </x14:dataValidation>
        <x14:dataValidation type="list" xr:uid="{00000000-0002-0000-0B00-000012000000}">
          <x14:formula1>
            <xm:f>Lists!$H$2:$H$5</xm:f>
          </x14:formula1>
          <x14:formula2>
            <xm:f>0</xm:f>
          </x14:formula2>
          <xm:sqref>D97</xm:sqref>
        </x14:dataValidation>
        <x14:dataValidation type="list" xr:uid="{00000000-0002-0000-0B00-000013000000}">
          <x14:formula1>
            <xm:f>Lists!$N$2:$N$3</xm:f>
          </x14:formula1>
          <x14:formula2>
            <xm:f>0</xm:f>
          </x14:formula2>
          <xm:sqref>D104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L50"/>
  <sheetViews>
    <sheetView showGridLines="0" zoomScaleNormal="100" workbookViewId="0">
      <pane xSplit="3" ySplit="7" topLeftCell="D8" activePane="bottomRight" state="frozen"/>
      <selection pane="topRight" activeCell="D1" sqref="D1"/>
      <selection pane="bottomLeft" activeCell="A8" sqref="A8"/>
      <selection pane="bottomRight"/>
    </sheetView>
  </sheetViews>
  <sheetFormatPr baseColWidth="10" defaultColWidth="8.5" defaultRowHeight="15" x14ac:dyDescent="0.2"/>
  <cols>
    <col min="1" max="1" width="3.1640625" customWidth="1"/>
    <col min="2" max="2" width="58" customWidth="1"/>
    <col min="3" max="3" width="16" customWidth="1"/>
    <col min="4" max="11" width="22" customWidth="1"/>
    <col min="12" max="12" width="60" customWidth="1"/>
  </cols>
  <sheetData>
    <row r="1" spans="2:12" ht="25.5" customHeight="1" x14ac:dyDescent="0.25">
      <c r="B1" s="14" t="s">
        <v>611</v>
      </c>
    </row>
    <row r="2" spans="2:12" ht="69.75" customHeight="1" x14ac:dyDescent="0.2">
      <c r="B2" s="85" t="s">
        <v>612</v>
      </c>
      <c r="C2" s="85"/>
      <c r="D2" s="85"/>
      <c r="E2" s="85"/>
      <c r="F2" s="85"/>
      <c r="G2" s="85"/>
      <c r="H2" s="85"/>
      <c r="I2" s="85"/>
      <c r="J2" s="85"/>
      <c r="K2" s="85"/>
      <c r="L2" s="85"/>
    </row>
    <row r="4" spans="2:12" ht="16" x14ac:dyDescent="0.2">
      <c r="B4" s="10" t="s">
        <v>613</v>
      </c>
      <c r="C4" s="11"/>
      <c r="D4" s="11"/>
      <c r="E4" s="11"/>
      <c r="F4" s="11"/>
      <c r="G4" s="11"/>
      <c r="H4" s="11"/>
      <c r="I4" s="11"/>
      <c r="J4" s="11"/>
      <c r="K4" s="11"/>
    </row>
    <row r="5" spans="2:12" ht="43.5" customHeight="1" x14ac:dyDescent="0.2">
      <c r="B5" s="12" t="s">
        <v>614</v>
      </c>
      <c r="C5" s="12" t="s">
        <v>615</v>
      </c>
      <c r="D5" s="62" t="s">
        <v>18</v>
      </c>
      <c r="E5" s="62" t="s">
        <v>20</v>
      </c>
      <c r="F5" s="62" t="s">
        <v>22</v>
      </c>
      <c r="G5" s="62" t="s">
        <v>24</v>
      </c>
      <c r="H5" s="62" t="s">
        <v>26</v>
      </c>
      <c r="I5" s="62" t="s">
        <v>28</v>
      </c>
      <c r="J5" s="62" t="s">
        <v>30</v>
      </c>
      <c r="K5" s="62" t="s">
        <v>32</v>
      </c>
      <c r="L5" s="12" t="s">
        <v>616</v>
      </c>
    </row>
    <row r="6" spans="2:12" ht="51" x14ac:dyDescent="0.2">
      <c r="B6" s="9" t="s">
        <v>617</v>
      </c>
      <c r="C6" s="4" t="s">
        <v>75</v>
      </c>
      <c r="D6" s="63" t="str">
        <f>'S1 T1 Distributed default'!$D$21&amp;" / "&amp;'S1 T1 Distributed default'!$D$22</f>
        <v>Track 1 / A1: Soil</v>
      </c>
      <c r="E6" s="63" t="str">
        <f>'S1M T1 Distributed measured'!$D$21&amp;" / "&amp;'S1M T1 Distributed measured'!$D$22</f>
        <v>Track 1 / A1: Soil</v>
      </c>
      <c r="F6" s="63" t="str">
        <f>'S2 T2 Mechanised soil'!$D$21&amp;" / "&amp;'S2 T2 Mechanised soil'!$D$22</f>
        <v>Track 2 / A1: Soil</v>
      </c>
      <c r="G6" s="63" t="str">
        <f>'S2M T2 Calculated route'!$D$21&amp;" / "&amp;'S2M T2 Calculated route'!$D$22</f>
        <v>Track 2 / A1: Soil</v>
      </c>
      <c r="H6" s="63" t="str">
        <f>'S3 T3 Industrial soil'!$D$21&amp;" / "&amp;'S3 T3 Industrial soil'!$D$22</f>
        <v>Track 3 / A1: Soil</v>
      </c>
      <c r="I6" s="63" t="str">
        <f>'S4 T1 Field residue F1'!$D$21&amp;" / "&amp;'S4 T1 Field residue F1'!$D$22</f>
        <v>Track 1 / A1: Soil</v>
      </c>
      <c r="J6" s="63" t="str">
        <f>'S5 T2 Concrete A2'!$D$21&amp;" / "&amp;'S5 T2 Concrete A2'!$D$22</f>
        <v>Track 2 / A2: Engineered materials</v>
      </c>
      <c r="K6" s="63" t="str">
        <f>'S6 T3 Biosolids vault A3'!$D$21&amp;" / "&amp;'S6 T3 Biosolids vault A3'!$D$22</f>
        <v>Track 3 / A3: Anoxic vault</v>
      </c>
    </row>
    <row r="7" spans="2:12" ht="34" x14ac:dyDescent="0.2">
      <c r="B7" s="9" t="s">
        <v>618</v>
      </c>
      <c r="C7" s="4" t="s">
        <v>619</v>
      </c>
      <c r="D7" s="63" t="str">
        <f>IF(AND(LEFT('S1 T1 Distributed default'!$D$22,2)="A1",'S1 T1 Distributed default'!$D$21&lt;&gt;"Track 1"),"Yes — mandatory","No — fixed rate (Table 25)")</f>
        <v>No — fixed rate (Table 25)</v>
      </c>
      <c r="E7" s="63" t="str">
        <f>IF(AND(LEFT('S1M T1 Distributed measured'!$D$22,2)="A1",'S1M T1 Distributed measured'!$D$21&lt;&gt;"Track 1"),"Yes — mandatory","No — fixed rate (Table 25)")</f>
        <v>No — fixed rate (Table 25)</v>
      </c>
      <c r="F7" s="63" t="str">
        <f>IF(AND(LEFT('S2 T2 Mechanised soil'!$D$22,2)="A1",'S2 T2 Mechanised soil'!$D$21&lt;&gt;"Track 1"),"Yes — mandatory","No — fixed rate (Table 25)")</f>
        <v>Yes — mandatory</v>
      </c>
      <c r="G7" s="63" t="str">
        <f>IF(AND(LEFT('S2M T2 Calculated route'!$D$22,2)="A1",'S2M T2 Calculated route'!$D$21&lt;&gt;"Track 1"),"Yes — mandatory","No — fixed rate (Table 25)")</f>
        <v>Yes — mandatory</v>
      </c>
      <c r="H7" s="63" t="str">
        <f>IF(AND(LEFT('S3 T3 Industrial soil'!$D$22,2)="A1",'S3 T3 Industrial soil'!$D$21&lt;&gt;"Track 1"),"Yes — mandatory","No — fixed rate (Table 25)")</f>
        <v>Yes — mandatory</v>
      </c>
      <c r="I7" s="63" t="str">
        <f>IF(AND(LEFT('S4 T1 Field residue F1'!$D$22,2)="A1",'S4 T1 Field residue F1'!$D$21&lt;&gt;"Track 1"),"Yes — mandatory","No — fixed rate (Table 25)")</f>
        <v>No — fixed rate (Table 25)</v>
      </c>
      <c r="J7" s="63" t="str">
        <f>IF(AND(LEFT('S5 T2 Concrete A2'!$D$22,2)="A1",'S5 T2 Concrete A2'!$D$21&lt;&gt;"Track 1"),"Yes — mandatory","No — fixed rate (Table 25)")</f>
        <v>No — fixed rate (Table 25)</v>
      </c>
      <c r="K7" s="63" t="str">
        <f>IF(AND(LEFT('S6 T3 Biosolids vault A3'!$D$22,2)="A1",'S6 T3 Biosolids vault A3'!$D$21&lt;&gt;"Track 1"),"Yes — mandatory","No — fixed rate (Table 25)")</f>
        <v>No — fixed rate (Table 25)</v>
      </c>
    </row>
    <row r="8" spans="2:12" ht="17" x14ac:dyDescent="0.2">
      <c r="B8" s="6" t="s">
        <v>620</v>
      </c>
      <c r="C8" s="4" t="s">
        <v>621</v>
      </c>
      <c r="D8" s="30" t="s">
        <v>622</v>
      </c>
      <c r="E8" s="30" t="s">
        <v>622</v>
      </c>
      <c r="F8" s="30" t="s">
        <v>623</v>
      </c>
      <c r="G8" s="30" t="s">
        <v>623</v>
      </c>
      <c r="H8" s="30" t="s">
        <v>623</v>
      </c>
      <c r="I8" s="30" t="s">
        <v>622</v>
      </c>
      <c r="J8" s="30" t="s">
        <v>622</v>
      </c>
      <c r="K8" s="30" t="s">
        <v>622</v>
      </c>
      <c r="L8" s="9" t="s">
        <v>624</v>
      </c>
    </row>
    <row r="9" spans="2:12" ht="17" x14ac:dyDescent="0.2">
      <c r="B9" s="6" t="s">
        <v>625</v>
      </c>
      <c r="C9" s="4" t="s">
        <v>621</v>
      </c>
      <c r="D9" s="30" t="s">
        <v>270</v>
      </c>
      <c r="E9" s="30" t="s">
        <v>270</v>
      </c>
      <c r="F9" s="30" t="s">
        <v>270</v>
      </c>
      <c r="G9" s="30" t="s">
        <v>270</v>
      </c>
      <c r="H9" s="30" t="s">
        <v>270</v>
      </c>
      <c r="I9" s="30" t="s">
        <v>270</v>
      </c>
      <c r="J9" s="30" t="s">
        <v>270</v>
      </c>
      <c r="K9" s="30" t="s">
        <v>270</v>
      </c>
      <c r="L9" s="9" t="s">
        <v>626</v>
      </c>
    </row>
    <row r="10" spans="2:12" ht="34" x14ac:dyDescent="0.2">
      <c r="B10" s="6" t="s">
        <v>627</v>
      </c>
      <c r="C10" s="4" t="s">
        <v>621</v>
      </c>
      <c r="D10" s="30" t="s">
        <v>270</v>
      </c>
      <c r="E10" s="30" t="s">
        <v>270</v>
      </c>
      <c r="F10" s="30" t="s">
        <v>325</v>
      </c>
      <c r="G10" s="30" t="s">
        <v>325</v>
      </c>
      <c r="H10" s="30" t="s">
        <v>270</v>
      </c>
      <c r="I10" s="30" t="s">
        <v>270</v>
      </c>
      <c r="J10" s="30" t="s">
        <v>270</v>
      </c>
      <c r="K10" s="30" t="s">
        <v>270</v>
      </c>
      <c r="L10" s="9" t="s">
        <v>628</v>
      </c>
    </row>
    <row r="11" spans="2:12" ht="34" x14ac:dyDescent="0.2">
      <c r="B11" s="6" t="s">
        <v>629</v>
      </c>
      <c r="C11" s="4" t="s">
        <v>621</v>
      </c>
      <c r="D11" s="30" t="s">
        <v>270</v>
      </c>
      <c r="E11" s="30" t="s">
        <v>270</v>
      </c>
      <c r="F11" s="30" t="s">
        <v>270</v>
      </c>
      <c r="G11" s="30" t="s">
        <v>270</v>
      </c>
      <c r="H11" s="30" t="s">
        <v>270</v>
      </c>
      <c r="I11" s="30" t="s">
        <v>270</v>
      </c>
      <c r="J11" s="30" t="s">
        <v>270</v>
      </c>
      <c r="K11" s="30" t="s">
        <v>270</v>
      </c>
      <c r="L11" s="9" t="s">
        <v>630</v>
      </c>
    </row>
    <row r="12" spans="2:12" ht="34" x14ac:dyDescent="0.2">
      <c r="B12" s="6" t="s">
        <v>631</v>
      </c>
      <c r="C12" s="4" t="s">
        <v>621</v>
      </c>
      <c r="D12" s="30" t="s">
        <v>270</v>
      </c>
      <c r="E12" s="30" t="s">
        <v>270</v>
      </c>
      <c r="F12" s="30" t="s">
        <v>270</v>
      </c>
      <c r="G12" s="30" t="s">
        <v>270</v>
      </c>
      <c r="H12" s="30" t="s">
        <v>270</v>
      </c>
      <c r="I12" s="30" t="s">
        <v>270</v>
      </c>
      <c r="J12" s="30" t="s">
        <v>270</v>
      </c>
      <c r="K12" s="30" t="s">
        <v>270</v>
      </c>
      <c r="L12" s="9" t="s">
        <v>632</v>
      </c>
    </row>
    <row r="13" spans="2:12" ht="17" x14ac:dyDescent="0.2">
      <c r="B13" s="6" t="s">
        <v>633</v>
      </c>
      <c r="C13" s="4" t="s">
        <v>634</v>
      </c>
      <c r="D13" s="30" t="s">
        <v>270</v>
      </c>
      <c r="E13" s="30" t="s">
        <v>270</v>
      </c>
      <c r="F13" s="30" t="s">
        <v>270</v>
      </c>
      <c r="G13" s="30" t="s">
        <v>270</v>
      </c>
      <c r="H13" s="30" t="s">
        <v>325</v>
      </c>
      <c r="I13" s="30" t="s">
        <v>270</v>
      </c>
      <c r="J13" s="30" t="s">
        <v>270</v>
      </c>
      <c r="K13" s="30" t="s">
        <v>270</v>
      </c>
      <c r="L13" s="9" t="s">
        <v>635</v>
      </c>
    </row>
    <row r="14" spans="2:12" ht="17" x14ac:dyDescent="0.2">
      <c r="B14" s="6" t="s">
        <v>636</v>
      </c>
      <c r="C14" s="4" t="s">
        <v>634</v>
      </c>
      <c r="D14" s="30" t="s">
        <v>270</v>
      </c>
      <c r="E14" s="30" t="s">
        <v>270</v>
      </c>
      <c r="F14" s="30" t="s">
        <v>325</v>
      </c>
      <c r="G14" s="30" t="s">
        <v>325</v>
      </c>
      <c r="H14" s="30" t="s">
        <v>270</v>
      </c>
      <c r="I14" s="30" t="s">
        <v>270</v>
      </c>
      <c r="J14" s="30" t="s">
        <v>270</v>
      </c>
      <c r="K14" s="30" t="s">
        <v>270</v>
      </c>
      <c r="L14" s="9" t="s">
        <v>637</v>
      </c>
    </row>
    <row r="15" spans="2:12" ht="34" x14ac:dyDescent="0.2">
      <c r="B15" s="6" t="s">
        <v>638</v>
      </c>
      <c r="C15" s="4" t="s">
        <v>634</v>
      </c>
      <c r="D15" s="30" t="s">
        <v>270</v>
      </c>
      <c r="E15" s="30" t="s">
        <v>270</v>
      </c>
      <c r="F15" s="30" t="s">
        <v>270</v>
      </c>
      <c r="G15" s="30" t="s">
        <v>270</v>
      </c>
      <c r="H15" s="30" t="s">
        <v>270</v>
      </c>
      <c r="I15" s="30" t="s">
        <v>270</v>
      </c>
      <c r="J15" s="30" t="s">
        <v>270</v>
      </c>
      <c r="K15" s="30" t="s">
        <v>270</v>
      </c>
      <c r="L15" s="9" t="s">
        <v>639</v>
      </c>
    </row>
    <row r="16" spans="2:12" ht="17" x14ac:dyDescent="0.2">
      <c r="B16" s="6" t="s">
        <v>640</v>
      </c>
      <c r="C16" s="4" t="s">
        <v>634</v>
      </c>
      <c r="D16" s="30" t="s">
        <v>270</v>
      </c>
      <c r="E16" s="30" t="s">
        <v>270</v>
      </c>
      <c r="F16" s="30" t="s">
        <v>270</v>
      </c>
      <c r="G16" s="30" t="s">
        <v>270</v>
      </c>
      <c r="H16" s="30" t="s">
        <v>325</v>
      </c>
      <c r="I16" s="30" t="s">
        <v>270</v>
      </c>
      <c r="J16" s="30" t="s">
        <v>270</v>
      </c>
      <c r="K16" s="30" t="s">
        <v>270</v>
      </c>
      <c r="L16" s="9" t="s">
        <v>641</v>
      </c>
    </row>
    <row r="17" spans="2:12" ht="17" x14ac:dyDescent="0.2">
      <c r="B17" s="6" t="s">
        <v>642</v>
      </c>
      <c r="C17" s="4" t="s">
        <v>634</v>
      </c>
      <c r="D17" s="30" t="s">
        <v>270</v>
      </c>
      <c r="E17" s="30" t="s">
        <v>270</v>
      </c>
      <c r="F17" s="30" t="s">
        <v>325</v>
      </c>
      <c r="G17" s="30" t="s">
        <v>325</v>
      </c>
      <c r="H17" s="30" t="s">
        <v>325</v>
      </c>
      <c r="I17" s="30" t="s">
        <v>270</v>
      </c>
      <c r="J17" s="30" t="s">
        <v>270</v>
      </c>
      <c r="K17" s="30" t="s">
        <v>270</v>
      </c>
      <c r="L17" s="9" t="s">
        <v>643</v>
      </c>
    </row>
    <row r="19" spans="2:12" ht="17" x14ac:dyDescent="0.2">
      <c r="B19" s="6" t="s">
        <v>644</v>
      </c>
      <c r="C19" s="4" t="s">
        <v>645</v>
      </c>
      <c r="D19" s="20">
        <f>Defaults!$C$30</f>
        <v>7.4999999999999997E-2</v>
      </c>
      <c r="E19" s="20">
        <f>Defaults!$C$30</f>
        <v>7.4999999999999997E-2</v>
      </c>
      <c r="F19" s="20">
        <f>Defaults!$C$30</f>
        <v>7.4999999999999997E-2</v>
      </c>
      <c r="G19" s="20">
        <f>Defaults!$C$30</f>
        <v>7.4999999999999997E-2</v>
      </c>
      <c r="H19" s="20">
        <f>Defaults!$C$30</f>
        <v>7.4999999999999997E-2</v>
      </c>
      <c r="I19" s="20">
        <f>Defaults!$C$30</f>
        <v>7.4999999999999997E-2</v>
      </c>
      <c r="J19" s="20">
        <f>Defaults!$C$30</f>
        <v>7.4999999999999997E-2</v>
      </c>
      <c r="K19" s="20">
        <f>Defaults!$C$30</f>
        <v>7.4999999999999997E-2</v>
      </c>
    </row>
    <row r="20" spans="2:12" ht="34" x14ac:dyDescent="0.2">
      <c r="B20" s="6" t="s">
        <v>646</v>
      </c>
      <c r="C20" s="4" t="s">
        <v>621</v>
      </c>
      <c r="D20" s="20">
        <f>IF(D8="High (&lt; 30 years)",Defaults!$C$83,IF(D8="Moderate (30–100 years)",Defaults!$C$84,0))+MAX(0,IF(D9="Yes",Defaults!$C$85,0)-IF(D15="Yes",Defaults!$C$91,0))+IF(D10="Yes",Defaults!$C$86,0)+IF(D11="Yes",Defaults!$C$87,0)+IF(D12="Yes",Defaults!$C$88,0)</f>
        <v>0</v>
      </c>
      <c r="E20" s="20">
        <f>IF(E8="High (&lt; 30 years)",Defaults!$C$83,IF(E8="Moderate (30–100 years)",Defaults!$C$84,0))+MAX(0,IF(E9="Yes",Defaults!$C$85,0)-IF(E15="Yes",Defaults!$C$91,0))+IF(E10="Yes",Defaults!$C$86,0)+IF(E11="Yes",Defaults!$C$87,0)+IF(E12="Yes",Defaults!$C$88,0)</f>
        <v>0</v>
      </c>
      <c r="F20" s="20">
        <f>IF(F8="High (&lt; 30 years)",Defaults!$C$83,IF(F8="Moderate (30–100 years)",Defaults!$C$84,0))+MAX(0,IF(F9="Yes",Defaults!$C$85,0)-IF(F15="Yes",Defaults!$C$91,0))+IF(F10="Yes",Defaults!$C$86,0)+IF(F11="Yes",Defaults!$C$87,0)+IF(F12="Yes",Defaults!$C$88,0)</f>
        <v>3.5000000000000003E-2</v>
      </c>
      <c r="G20" s="20">
        <f>IF(G8="High (&lt; 30 years)",Defaults!$C$83,IF(G8="Moderate (30–100 years)",Defaults!$C$84,0))+MAX(0,IF(G9="Yes",Defaults!$C$85,0)-IF(G15="Yes",Defaults!$C$91,0))+IF(G10="Yes",Defaults!$C$86,0)+IF(G11="Yes",Defaults!$C$87,0)+IF(G12="Yes",Defaults!$C$88,0)</f>
        <v>3.5000000000000003E-2</v>
      </c>
      <c r="H20" s="20">
        <f>IF(H8="High (&lt; 30 years)",Defaults!$C$83,IF(H8="Moderate (30–100 years)",Defaults!$C$84,0))+MAX(0,IF(H9="Yes",Defaults!$C$85,0)-IF(H15="Yes",Defaults!$C$91,0))+IF(H10="Yes",Defaults!$C$86,0)+IF(H11="Yes",Defaults!$C$87,0)+IF(H12="Yes",Defaults!$C$88,0)</f>
        <v>0.02</v>
      </c>
      <c r="I20" s="20">
        <f>IF(I8="High (&lt; 30 years)",Defaults!$C$83,IF(I8="Moderate (30–100 years)",Defaults!$C$84,0))+MAX(0,IF(I9="Yes",Defaults!$C$85,0)-IF(I15="Yes",Defaults!$C$91,0))+IF(I10="Yes",Defaults!$C$86,0)+IF(I11="Yes",Defaults!$C$87,0)+IF(I12="Yes",Defaults!$C$88,0)</f>
        <v>0</v>
      </c>
      <c r="J20" s="20">
        <f>IF(J8="High (&lt; 30 years)",Defaults!$C$83,IF(J8="Moderate (30–100 years)",Defaults!$C$84,0))+MAX(0,IF(J9="Yes",Defaults!$C$85,0)-IF(J15="Yes",Defaults!$C$91,0))+IF(J10="Yes",Defaults!$C$86,0)+IF(J11="Yes",Defaults!$C$87,0)+IF(J12="Yes",Defaults!$C$88,0)</f>
        <v>0</v>
      </c>
      <c r="K20" s="20">
        <f>IF(K8="High (&lt; 30 years)",Defaults!$C$83,IF(K8="Moderate (30–100 years)",Defaults!$C$84,0))+MAX(0,IF(K9="Yes",Defaults!$C$85,0)-IF(K15="Yes",Defaults!$C$91,0))+IF(K10="Yes",Defaults!$C$86,0)+IF(K11="Yes",Defaults!$C$87,0)+IF(K12="Yes",Defaults!$C$88,0)</f>
        <v>0</v>
      </c>
    </row>
    <row r="21" spans="2:12" ht="17" x14ac:dyDescent="0.2">
      <c r="B21" s="6" t="s">
        <v>647</v>
      </c>
      <c r="C21" s="4" t="s">
        <v>634</v>
      </c>
      <c r="D21" s="20">
        <f>IF(D13="Yes",Defaults!$C$89,0)+IF(D14="Yes",Defaults!$C$90,0)+IF(D16="Yes",Defaults!$C$92,0)+IF(D17="Yes",Defaults!$C$93,0)</f>
        <v>0</v>
      </c>
      <c r="E21" s="20">
        <f>IF(E13="Yes",Defaults!$C$89,0)+IF(E14="Yes",Defaults!$C$90,0)+IF(E16="Yes",Defaults!$C$92,0)+IF(E17="Yes",Defaults!$C$93,0)</f>
        <v>0</v>
      </c>
      <c r="F21" s="20">
        <f>IF(F13="Yes",Defaults!$C$89,0)+IF(F14="Yes",Defaults!$C$90,0)+IF(F16="Yes",Defaults!$C$92,0)+IF(F17="Yes",Defaults!$C$93,0)</f>
        <v>4.4999999999999998E-2</v>
      </c>
      <c r="G21" s="20">
        <f>IF(G13="Yes",Defaults!$C$89,0)+IF(G14="Yes",Defaults!$C$90,0)+IF(G16="Yes",Defaults!$C$92,0)+IF(G17="Yes",Defaults!$C$93,0)</f>
        <v>4.4999999999999998E-2</v>
      </c>
      <c r="H21" s="20">
        <f>IF(H13="Yes",Defaults!$C$89,0)+IF(H14="Yes",Defaults!$C$90,0)+IF(H16="Yes",Defaults!$C$92,0)+IF(H17="Yes",Defaults!$C$93,0)</f>
        <v>6.0000000000000005E-2</v>
      </c>
      <c r="I21" s="20">
        <f>IF(I13="Yes",Defaults!$C$89,0)+IF(I14="Yes",Defaults!$C$90,0)+IF(I16="Yes",Defaults!$C$92,0)+IF(I17="Yes",Defaults!$C$93,0)</f>
        <v>0</v>
      </c>
      <c r="J21" s="20">
        <f>IF(J13="Yes",Defaults!$C$89,0)+IF(J14="Yes",Defaults!$C$90,0)+IF(J16="Yes",Defaults!$C$92,0)+IF(J17="Yes",Defaults!$C$93,0)</f>
        <v>0</v>
      </c>
      <c r="K21" s="20">
        <f>IF(K13="Yes",Defaults!$C$89,0)+IF(K14="Yes",Defaults!$C$90,0)+IF(K16="Yes",Defaults!$C$92,0)+IF(K17="Yes",Defaults!$C$93,0)</f>
        <v>0</v>
      </c>
    </row>
    <row r="22" spans="2:12" ht="17" x14ac:dyDescent="0.2">
      <c r="B22" s="6" t="s">
        <v>648</v>
      </c>
      <c r="C22" s="4" t="s">
        <v>649</v>
      </c>
      <c r="D22" s="20">
        <f>Defaults!$C$31</f>
        <v>2.5000000000000001E-2</v>
      </c>
      <c r="E22" s="20">
        <f>Defaults!$C$31</f>
        <v>2.5000000000000001E-2</v>
      </c>
      <c r="F22" s="20">
        <f>Defaults!$C$31</f>
        <v>2.5000000000000001E-2</v>
      </c>
      <c r="G22" s="20">
        <f>Defaults!$C$31</f>
        <v>2.5000000000000001E-2</v>
      </c>
      <c r="H22" s="20">
        <f>Defaults!$C$31</f>
        <v>2.5000000000000001E-2</v>
      </c>
      <c r="I22" s="20">
        <f>Defaults!$C$31</f>
        <v>2.5000000000000001E-2</v>
      </c>
      <c r="J22" s="20">
        <f>Defaults!$C$31</f>
        <v>2.5000000000000001E-2</v>
      </c>
      <c r="K22" s="20">
        <f>Defaults!$C$31</f>
        <v>2.5000000000000001E-2</v>
      </c>
    </row>
    <row r="23" spans="2:12" ht="34" x14ac:dyDescent="0.2">
      <c r="B23" s="35" t="s">
        <v>650</v>
      </c>
      <c r="C23" s="2" t="s">
        <v>651</v>
      </c>
      <c r="D23" s="24">
        <f t="shared" ref="D23:K23" si="0">MAX(D22,D19+D20-D21)</f>
        <v>7.4999999999999997E-2</v>
      </c>
      <c r="E23" s="24">
        <f t="shared" si="0"/>
        <v>7.4999999999999997E-2</v>
      </c>
      <c r="F23" s="24">
        <f t="shared" si="0"/>
        <v>6.5000000000000002E-2</v>
      </c>
      <c r="G23" s="24">
        <f t="shared" si="0"/>
        <v>6.5000000000000002E-2</v>
      </c>
      <c r="H23" s="24">
        <f t="shared" si="0"/>
        <v>3.4999999999999996E-2</v>
      </c>
      <c r="I23" s="24">
        <f t="shared" si="0"/>
        <v>7.4999999999999997E-2</v>
      </c>
      <c r="J23" s="24">
        <f t="shared" si="0"/>
        <v>7.4999999999999997E-2</v>
      </c>
      <c r="K23" s="24">
        <f t="shared" si="0"/>
        <v>7.4999999999999997E-2</v>
      </c>
    </row>
    <row r="25" spans="2:12" ht="16" x14ac:dyDescent="0.2">
      <c r="B25" s="10" t="s">
        <v>652</v>
      </c>
      <c r="C25" s="11"/>
      <c r="D25" s="11"/>
      <c r="E25" s="11"/>
      <c r="F25" s="11"/>
      <c r="G25" s="11"/>
      <c r="H25" s="11"/>
      <c r="I25" s="11"/>
      <c r="J25" s="11"/>
      <c r="K25" s="11"/>
    </row>
    <row r="26" spans="2:12" ht="16" x14ac:dyDescent="0.2">
      <c r="B26" s="12" t="s">
        <v>653</v>
      </c>
      <c r="C26" s="12" t="s">
        <v>654</v>
      </c>
      <c r="D26" s="12" t="s">
        <v>655</v>
      </c>
    </row>
    <row r="27" spans="2:12" ht="16" x14ac:dyDescent="0.2">
      <c r="B27" s="4" t="s">
        <v>656</v>
      </c>
      <c r="C27" s="34">
        <f>Defaults!$C$27</f>
        <v>0.1</v>
      </c>
      <c r="D27" s="4" t="s">
        <v>657</v>
      </c>
    </row>
    <row r="28" spans="2:12" ht="16" x14ac:dyDescent="0.2">
      <c r="B28" s="4" t="s">
        <v>658</v>
      </c>
      <c r="C28" s="34">
        <f>Defaults!$C$28</f>
        <v>0.03</v>
      </c>
      <c r="D28" s="4" t="s">
        <v>657</v>
      </c>
    </row>
    <row r="29" spans="2:12" ht="16" x14ac:dyDescent="0.2">
      <c r="B29" s="4" t="s">
        <v>659</v>
      </c>
      <c r="C29" s="34">
        <f>Defaults!$C$29</f>
        <v>2.5000000000000001E-2</v>
      </c>
      <c r="D29" s="4" t="s">
        <v>660</v>
      </c>
    </row>
    <row r="31" spans="2:12" ht="16" x14ac:dyDescent="0.2">
      <c r="B31" s="12" t="s">
        <v>661</v>
      </c>
      <c r="C31" s="12" t="s">
        <v>654</v>
      </c>
    </row>
    <row r="32" spans="2:12" ht="16" x14ac:dyDescent="0.2">
      <c r="B32" s="4" t="s">
        <v>662</v>
      </c>
      <c r="C32" s="34">
        <f>Defaults!$C$30</f>
        <v>7.4999999999999997E-2</v>
      </c>
    </row>
    <row r="34" spans="2:3" ht="16" x14ac:dyDescent="0.2">
      <c r="B34" s="12" t="s">
        <v>663</v>
      </c>
      <c r="C34" s="12" t="s">
        <v>664</v>
      </c>
    </row>
    <row r="35" spans="2:3" ht="16" x14ac:dyDescent="0.2">
      <c r="B35" s="4" t="s">
        <v>665</v>
      </c>
      <c r="C35" s="34">
        <f>Defaults!$C$83</f>
        <v>0.04</v>
      </c>
    </row>
    <row r="36" spans="2:3" ht="16" x14ac:dyDescent="0.2">
      <c r="B36" s="4" t="s">
        <v>666</v>
      </c>
      <c r="C36" s="34">
        <f>Defaults!$C$84</f>
        <v>0.02</v>
      </c>
    </row>
    <row r="37" spans="2:3" ht="16" x14ac:dyDescent="0.2">
      <c r="B37" s="4" t="s">
        <v>667</v>
      </c>
      <c r="C37" s="34">
        <f>Defaults!$C$85</f>
        <v>0.05</v>
      </c>
    </row>
    <row r="38" spans="2:3" ht="16" x14ac:dyDescent="0.2">
      <c r="B38" s="4" t="s">
        <v>668</v>
      </c>
      <c r="C38" s="34">
        <f>Defaults!$C$86</f>
        <v>1.4999999999999999E-2</v>
      </c>
    </row>
    <row r="39" spans="2:3" ht="16" x14ac:dyDescent="0.2">
      <c r="B39" s="4" t="s">
        <v>669</v>
      </c>
      <c r="C39" s="34">
        <f>Defaults!$C$87</f>
        <v>0.01</v>
      </c>
    </row>
    <row r="40" spans="2:3" ht="16" x14ac:dyDescent="0.2">
      <c r="B40" s="4" t="s">
        <v>670</v>
      </c>
      <c r="C40" s="34">
        <f>Defaults!$C$88</f>
        <v>0.02</v>
      </c>
    </row>
    <row r="42" spans="2:3" ht="16" x14ac:dyDescent="0.2">
      <c r="B42" s="12" t="s">
        <v>671</v>
      </c>
      <c r="C42" s="12" t="s">
        <v>672</v>
      </c>
    </row>
    <row r="43" spans="2:3" ht="16" x14ac:dyDescent="0.2">
      <c r="B43" s="4" t="s">
        <v>673</v>
      </c>
      <c r="C43" s="34">
        <f>Defaults!$C$89</f>
        <v>2.5000000000000001E-2</v>
      </c>
    </row>
    <row r="44" spans="2:3" ht="16" x14ac:dyDescent="0.2">
      <c r="B44" s="4" t="s">
        <v>674</v>
      </c>
      <c r="C44" s="34">
        <f>Defaults!$C$90</f>
        <v>0.02</v>
      </c>
    </row>
    <row r="45" spans="2:3" ht="16" x14ac:dyDescent="0.2">
      <c r="B45" s="4" t="s">
        <v>675</v>
      </c>
      <c r="C45" s="34">
        <f>Defaults!$C$91</f>
        <v>0.04</v>
      </c>
    </row>
    <row r="46" spans="2:3" ht="16" x14ac:dyDescent="0.2">
      <c r="B46" s="4" t="s">
        <v>676</v>
      </c>
      <c r="C46" s="34">
        <f>Defaults!$C$92</f>
        <v>0.01</v>
      </c>
    </row>
    <row r="47" spans="2:3" ht="16" x14ac:dyDescent="0.2">
      <c r="B47" s="4" t="s">
        <v>677</v>
      </c>
      <c r="C47" s="34">
        <f>Defaults!$C$93</f>
        <v>2.5000000000000001E-2</v>
      </c>
    </row>
    <row r="49" spans="2:3" ht="16" x14ac:dyDescent="0.2">
      <c r="B49" s="12" t="s">
        <v>678</v>
      </c>
      <c r="C49" s="12" t="s">
        <v>679</v>
      </c>
    </row>
    <row r="50" spans="2:3" ht="16" x14ac:dyDescent="0.2">
      <c r="B50" s="4" t="s">
        <v>680</v>
      </c>
      <c r="C50" s="34">
        <f>Defaults!$C$31</f>
        <v>2.5000000000000001E-2</v>
      </c>
    </row>
  </sheetData>
  <sheetProtection password="8666" sheet="1" formatColumns="0" formatRows="0"/>
  <mergeCells count="1">
    <mergeCell ref="B2:L2"/>
  </mergeCells>
  <pageMargins left="0.75" right="0.75" top="1" bottom="1" header="0.511811023622047" footer="0.511811023622047"/>
  <pageSetup paperSize="9" orientation="portrait" horizontalDpi="300" verticalDpi="300"/>
  <extLst>
    <ext xmlns:x14="http://schemas.microsoft.com/office/spreadsheetml/2009/9/main" uri="{CCE6A557-97BC-4b89-ADB6-D9C93CAAB3DF}">
      <x14:dataValidations xmlns:xm="http://schemas.microsoft.com/office/excel/2006/main" count="2">
        <x14:dataValidation type="list" xr:uid="{00000000-0002-0000-0C00-000000000000}">
          <x14:formula1>
            <xm:f>Lists!$M$2:$M$4</xm:f>
          </x14:formula1>
          <x14:formula2>
            <xm:f>0</xm:f>
          </x14:formula2>
          <xm:sqref>D8:K8</xm:sqref>
        </x14:dataValidation>
        <x14:dataValidation type="list" xr:uid="{00000000-0002-0000-0C00-000001000000}">
          <x14:formula1>
            <xm:f>Lists!$J$2:$J$3</xm:f>
          </x14:formula1>
          <x14:formula2>
            <xm:f>0</xm:f>
          </x14:formula2>
          <xm:sqref>D9:K17</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E61"/>
  <sheetViews>
    <sheetView showGridLines="0" zoomScaleNormal="100" workbookViewId="0"/>
  </sheetViews>
  <sheetFormatPr baseColWidth="10" defaultColWidth="8.5" defaultRowHeight="15" x14ac:dyDescent="0.2"/>
  <cols>
    <col min="1" max="1" width="3.1640625" customWidth="1"/>
    <col min="2" max="2" width="64" customWidth="1"/>
    <col min="3" max="3" width="14" customWidth="1"/>
    <col min="4" max="4" width="16" customWidth="1"/>
    <col min="5" max="5" width="60" customWidth="1"/>
  </cols>
  <sheetData>
    <row r="1" spans="2:5" ht="25" x14ac:dyDescent="0.25">
      <c r="B1" s="14" t="s">
        <v>681</v>
      </c>
    </row>
    <row r="3" spans="2:5" ht="16" x14ac:dyDescent="0.2">
      <c r="B3" s="7" t="s">
        <v>682</v>
      </c>
    </row>
    <row r="5" spans="2:5" ht="16" x14ac:dyDescent="0.2">
      <c r="B5" s="4" t="s">
        <v>683</v>
      </c>
      <c r="C5" s="64">
        <v>6</v>
      </c>
      <c r="D5" s="4"/>
      <c r="E5" s="9" t="s">
        <v>684</v>
      </c>
    </row>
    <row r="6" spans="2:5" ht="16" x14ac:dyDescent="0.2">
      <c r="B6" s="4" t="s">
        <v>685</v>
      </c>
      <c r="C6" s="65">
        <v>0.45</v>
      </c>
      <c r="D6" s="4" t="s">
        <v>686</v>
      </c>
      <c r="E6" s="9" t="s">
        <v>687</v>
      </c>
    </row>
    <row r="7" spans="2:5" ht="16" x14ac:dyDescent="0.2">
      <c r="B7" s="4" t="s">
        <v>688</v>
      </c>
      <c r="C7" s="66">
        <v>1.6E-2</v>
      </c>
      <c r="D7" s="4" t="s">
        <v>686</v>
      </c>
      <c r="E7" s="9" t="s">
        <v>684</v>
      </c>
    </row>
    <row r="8" spans="2:5" ht="16" x14ac:dyDescent="0.2">
      <c r="B8" s="4" t="s">
        <v>689</v>
      </c>
      <c r="C8" s="16">
        <f>INDEX(Defaults!$C$104:$C$117,MATCH(C5,Defaults!$B$104:$B$117,1))</f>
        <v>2.5710000000000002</v>
      </c>
      <c r="D8" s="4"/>
      <c r="E8" s="9" t="s">
        <v>690</v>
      </c>
    </row>
    <row r="9" spans="2:5" ht="16" x14ac:dyDescent="0.2">
      <c r="B9" s="4" t="s">
        <v>691</v>
      </c>
      <c r="C9" s="20">
        <f>C8*(C7/SQRT(C5))/C6</f>
        <v>3.7319337058936607E-2</v>
      </c>
      <c r="D9" s="4" t="s">
        <v>263</v>
      </c>
      <c r="E9" s="9" t="s">
        <v>684</v>
      </c>
    </row>
    <row r="10" spans="2:5" ht="16" x14ac:dyDescent="0.2">
      <c r="B10" s="4" t="s">
        <v>692</v>
      </c>
      <c r="C10" s="16">
        <f>C6*(1-C9)</f>
        <v>0.43320629832347851</v>
      </c>
      <c r="D10" s="4" t="s">
        <v>686</v>
      </c>
      <c r="E10" s="9" t="s">
        <v>374</v>
      </c>
    </row>
    <row r="11" spans="2:5" ht="16" x14ac:dyDescent="0.2">
      <c r="B11" s="4" t="s">
        <v>693</v>
      </c>
      <c r="C11" s="67">
        <v>0.01</v>
      </c>
      <c r="D11" s="4" t="s">
        <v>263</v>
      </c>
      <c r="E11" s="9" t="s">
        <v>694</v>
      </c>
    </row>
    <row r="12" spans="2:5" ht="16" x14ac:dyDescent="0.2">
      <c r="B12" s="4" t="s">
        <v>695</v>
      </c>
      <c r="C12" s="67">
        <v>0.02</v>
      </c>
      <c r="D12" s="4" t="s">
        <v>263</v>
      </c>
      <c r="E12" s="9" t="s">
        <v>694</v>
      </c>
    </row>
    <row r="13" spans="2:5" ht="16" x14ac:dyDescent="0.2">
      <c r="B13" s="4" t="s">
        <v>696</v>
      </c>
      <c r="C13" s="20">
        <f>SQRT(C11^2+C12^2+C9^2)</f>
        <v>4.3505550433462152E-2</v>
      </c>
      <c r="D13" s="4" t="s">
        <v>263</v>
      </c>
      <c r="E13" s="9" t="s">
        <v>283</v>
      </c>
    </row>
    <row r="14" spans="2:5" ht="16" x14ac:dyDescent="0.2">
      <c r="B14" s="4" t="s">
        <v>697</v>
      </c>
      <c r="C14" s="20">
        <f>MAX(0,C13-Defaults!$C$9)</f>
        <v>3.350555043346215E-2</v>
      </c>
      <c r="D14" s="4" t="s">
        <v>263</v>
      </c>
      <c r="E14" s="9" t="s">
        <v>698</v>
      </c>
    </row>
    <row r="17" spans="2:5" ht="16" x14ac:dyDescent="0.2">
      <c r="B17" s="7" t="s">
        <v>699</v>
      </c>
    </row>
    <row r="18" spans="2:5" ht="16" x14ac:dyDescent="0.2">
      <c r="B18" s="12" t="s">
        <v>200</v>
      </c>
      <c r="C18" s="12" t="s">
        <v>700</v>
      </c>
      <c r="D18" s="12" t="s">
        <v>701</v>
      </c>
    </row>
    <row r="19" spans="2:5" ht="16" x14ac:dyDescent="0.2">
      <c r="B19" s="4" t="s">
        <v>702</v>
      </c>
      <c r="C19" s="5">
        <v>420</v>
      </c>
      <c r="D19" s="68">
        <v>0.1</v>
      </c>
    </row>
    <row r="20" spans="2:5" ht="16" x14ac:dyDescent="0.2">
      <c r="B20" s="4" t="s">
        <v>703</v>
      </c>
      <c r="C20" s="5">
        <v>380</v>
      </c>
      <c r="D20" s="68">
        <v>0</v>
      </c>
    </row>
    <row r="21" spans="2:5" ht="16" x14ac:dyDescent="0.2">
      <c r="B21" s="4" t="s">
        <v>704</v>
      </c>
      <c r="C21" s="5">
        <v>260</v>
      </c>
      <c r="D21" s="68">
        <v>0.15</v>
      </c>
    </row>
    <row r="22" spans="2:5" ht="16" x14ac:dyDescent="0.2">
      <c r="B22" s="4" t="s">
        <v>705</v>
      </c>
      <c r="C22" s="5">
        <v>90</v>
      </c>
      <c r="D22" s="68">
        <v>0.1</v>
      </c>
    </row>
    <row r="23" spans="2:5" ht="16" x14ac:dyDescent="0.2">
      <c r="B23" s="4" t="s">
        <v>706</v>
      </c>
      <c r="C23" s="20">
        <f>SQRT(SUMPRODUCT((C19:C22*D19:D22)^2))/ABS(SUM(C19:C22))</f>
        <v>5.0449772884731431E-2</v>
      </c>
      <c r="E23" s="9" t="s">
        <v>707</v>
      </c>
    </row>
    <row r="24" spans="2:5" ht="16" x14ac:dyDescent="0.2">
      <c r="B24" s="4" t="s">
        <v>708</v>
      </c>
      <c r="C24" s="20">
        <f>MAX(0,C23-Defaults!$C$10)</f>
        <v>4.4977288473142807E-4</v>
      </c>
      <c r="E24" s="9" t="s">
        <v>709</v>
      </c>
    </row>
    <row r="27" spans="2:5" ht="16" x14ac:dyDescent="0.2">
      <c r="B27" s="7" t="s">
        <v>710</v>
      </c>
    </row>
    <row r="29" spans="2:5" ht="16" x14ac:dyDescent="0.2">
      <c r="B29" s="4" t="s">
        <v>711</v>
      </c>
      <c r="C29" s="65">
        <v>0.88</v>
      </c>
      <c r="D29" s="4" t="s">
        <v>263</v>
      </c>
      <c r="E29" s="9" t="s">
        <v>712</v>
      </c>
    </row>
    <row r="30" spans="2:5" ht="16" x14ac:dyDescent="0.2">
      <c r="B30" s="4" t="s">
        <v>713</v>
      </c>
      <c r="C30" s="65">
        <v>0.03</v>
      </c>
      <c r="D30" s="4" t="s">
        <v>263</v>
      </c>
      <c r="E30" s="9" t="s">
        <v>128</v>
      </c>
    </row>
    <row r="31" spans="2:5" ht="16" x14ac:dyDescent="0.2">
      <c r="B31" s="4" t="s">
        <v>714</v>
      </c>
      <c r="C31" s="65">
        <v>0.96</v>
      </c>
      <c r="D31" s="4" t="s">
        <v>263</v>
      </c>
      <c r="E31" s="9" t="s">
        <v>128</v>
      </c>
    </row>
    <row r="32" spans="2:5" ht="16" x14ac:dyDescent="0.2">
      <c r="B32" s="4" t="s">
        <v>715</v>
      </c>
      <c r="C32" s="65">
        <v>0.02</v>
      </c>
      <c r="D32" s="4" t="s">
        <v>263</v>
      </c>
      <c r="E32" s="9" t="s">
        <v>128</v>
      </c>
    </row>
    <row r="33" spans="2:5" ht="16" x14ac:dyDescent="0.2">
      <c r="B33" s="4" t="s">
        <v>716</v>
      </c>
      <c r="C33" s="16">
        <f>MAX(0,MIN(Defaults!$C$13,(C29-C30)*(C31-C32)))</f>
        <v>0.79899999999999993</v>
      </c>
      <c r="D33" s="4" t="s">
        <v>263</v>
      </c>
      <c r="E33" s="9" t="s">
        <v>128</v>
      </c>
    </row>
    <row r="36" spans="2:5" ht="16" x14ac:dyDescent="0.2">
      <c r="B36" s="7" t="s">
        <v>717</v>
      </c>
    </row>
    <row r="38" spans="2:5" ht="16" x14ac:dyDescent="0.2">
      <c r="B38" s="4" t="s">
        <v>718</v>
      </c>
      <c r="C38" s="65">
        <v>8.0000000000000002E-3</v>
      </c>
    </row>
    <row r="39" spans="2:5" ht="16" x14ac:dyDescent="0.2">
      <c r="B39" s="4" t="s">
        <v>719</v>
      </c>
      <c r="C39" s="66">
        <v>2.5000000000000001E-3</v>
      </c>
    </row>
    <row r="40" spans="2:5" ht="16" x14ac:dyDescent="0.2">
      <c r="B40" s="4" t="s">
        <v>720</v>
      </c>
      <c r="C40" s="66">
        <v>1.4999999999999999E-2</v>
      </c>
    </row>
    <row r="41" spans="2:5" ht="16" x14ac:dyDescent="0.2">
      <c r="B41" s="4" t="s">
        <v>721</v>
      </c>
      <c r="C41" s="68">
        <v>0.6</v>
      </c>
    </row>
    <row r="43" spans="2:5" ht="16" x14ac:dyDescent="0.2">
      <c r="B43" s="12" t="s">
        <v>722</v>
      </c>
      <c r="C43" s="12" t="s">
        <v>723</v>
      </c>
      <c r="E43" s="12" t="s">
        <v>724</v>
      </c>
    </row>
    <row r="44" spans="2:5" ht="16" x14ac:dyDescent="0.2">
      <c r="B44" s="4" t="s">
        <v>335</v>
      </c>
      <c r="C44" s="16">
        <f>Defaults!$C$32+C38*Defaults!$C$33+(1-C41)*(C39*Defaults!$C$43+C40*Defaults!$C$44)</f>
        <v>0.29189999999999999</v>
      </c>
      <c r="E44" s="9" t="s">
        <v>725</v>
      </c>
    </row>
    <row r="45" spans="2:5" ht="16" x14ac:dyDescent="0.2">
      <c r="B45" s="4" t="s">
        <v>596</v>
      </c>
      <c r="C45" s="16">
        <f>(1-C41)*(C39*Defaults!$C$43+C40*Defaults!$C$44)</f>
        <v>5.1000000000000004E-3</v>
      </c>
      <c r="E45" s="9" t="s">
        <v>726</v>
      </c>
    </row>
    <row r="46" spans="2:5" ht="16" x14ac:dyDescent="0.2">
      <c r="B46" s="4" t="s">
        <v>727</v>
      </c>
      <c r="C46" s="16">
        <v>0</v>
      </c>
      <c r="E46" s="9" t="s">
        <v>622</v>
      </c>
    </row>
    <row r="49" spans="2:5" ht="16" x14ac:dyDescent="0.2">
      <c r="B49" s="7" t="s">
        <v>728</v>
      </c>
    </row>
    <row r="50" spans="2:5" ht="16" x14ac:dyDescent="0.2">
      <c r="B50" s="4" t="s">
        <v>729</v>
      </c>
      <c r="C50" s="69">
        <v>0.45</v>
      </c>
    </row>
    <row r="51" spans="2:5" ht="16" x14ac:dyDescent="0.2">
      <c r="B51" s="4" t="s">
        <v>730</v>
      </c>
      <c r="C51" s="45">
        <f>C50*Defaults!$C$24*Defaults!$C$25*Defaults!$C$4</f>
        <v>2.1876369691923421E-2</v>
      </c>
    </row>
    <row r="54" spans="2:5" ht="16" x14ac:dyDescent="0.2">
      <c r="B54" s="7" t="s">
        <v>731</v>
      </c>
    </row>
    <row r="56" spans="2:5" ht="16" x14ac:dyDescent="0.2">
      <c r="B56" s="4" t="s">
        <v>732</v>
      </c>
      <c r="C56" s="70">
        <v>12</v>
      </c>
      <c r="D56" s="4" t="s">
        <v>733</v>
      </c>
    </row>
    <row r="57" spans="2:5" ht="16" x14ac:dyDescent="0.2">
      <c r="B57" s="4" t="s">
        <v>734</v>
      </c>
      <c r="C57" s="70">
        <v>5</v>
      </c>
      <c r="D57" s="4" t="s">
        <v>735</v>
      </c>
    </row>
    <row r="58" spans="2:5" ht="16" x14ac:dyDescent="0.2">
      <c r="B58" s="4" t="s">
        <v>181</v>
      </c>
      <c r="C58" s="65">
        <v>0.55000000000000004</v>
      </c>
      <c r="D58" s="4" t="s">
        <v>686</v>
      </c>
    </row>
    <row r="59" spans="2:5" ht="16" x14ac:dyDescent="0.2">
      <c r="B59" s="4" t="s">
        <v>184</v>
      </c>
      <c r="C59" s="65">
        <v>0.754</v>
      </c>
      <c r="D59" s="4" t="s">
        <v>263</v>
      </c>
    </row>
    <row r="60" spans="2:5" ht="16" x14ac:dyDescent="0.2">
      <c r="B60" s="4" t="s">
        <v>736</v>
      </c>
      <c r="C60" s="69">
        <v>0.5</v>
      </c>
      <c r="D60" s="4" t="s">
        <v>263</v>
      </c>
    </row>
    <row r="61" spans="2:5" ht="16" x14ac:dyDescent="0.2">
      <c r="B61" s="4" t="s">
        <v>737</v>
      </c>
      <c r="C61" s="57">
        <f>C56*C57*C58*C59*C60*Defaults!$C$5</f>
        <v>45.617000000000047</v>
      </c>
      <c r="E61" s="9" t="s">
        <v>738</v>
      </c>
    </row>
  </sheetData>
  <sheetProtection password="8666" sheet="1" formatColumns="0" formatRows="0"/>
  <pageMargins left="0.75" right="0.75" top="1" bottom="1" header="0.511811023622047" footer="0.511811023622047"/>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F14"/>
  <sheetViews>
    <sheetView showGridLines="0" zoomScaleNormal="100" workbookViewId="0"/>
  </sheetViews>
  <sheetFormatPr baseColWidth="10" defaultColWidth="8.5" defaultRowHeight="15" x14ac:dyDescent="0.2"/>
  <cols>
    <col min="1" max="1" width="3.1640625" customWidth="1"/>
    <col min="2" max="2" width="74" customWidth="1"/>
    <col min="3" max="4" width="16" customWidth="1"/>
    <col min="5" max="5" width="14" customWidth="1"/>
    <col min="6" max="6" width="50" customWidth="1"/>
  </cols>
  <sheetData>
    <row r="1" spans="2:6" ht="25" x14ac:dyDescent="0.25">
      <c r="B1" s="14" t="s">
        <v>739</v>
      </c>
    </row>
    <row r="3" spans="2:6" ht="16" x14ac:dyDescent="0.2">
      <c r="B3" s="12" t="s">
        <v>740</v>
      </c>
      <c r="C3" s="12" t="s">
        <v>741</v>
      </c>
      <c r="D3" s="12" t="s">
        <v>742</v>
      </c>
      <c r="E3" s="12" t="s">
        <v>177</v>
      </c>
      <c r="F3" s="12" t="s">
        <v>743</v>
      </c>
    </row>
    <row r="4" spans="2:6" ht="16" x14ac:dyDescent="0.2">
      <c r="B4" s="4" t="s">
        <v>744</v>
      </c>
      <c r="C4" s="45">
        <f>INDEX(Defaults!$C$121:$I$154,MATCH(25,Defaults!$B$121:$B$154,0),5)</f>
        <v>0.754</v>
      </c>
      <c r="D4" s="45">
        <v>0.754</v>
      </c>
      <c r="E4" s="4" t="str">
        <f t="shared" ref="E4:E14" si="0">IF(ABS(C4-D4)&lt;0.0006,"OK","Check")</f>
        <v>OK</v>
      </c>
      <c r="F4" s="9" t="s">
        <v>745</v>
      </c>
    </row>
    <row r="5" spans="2:6" ht="16" x14ac:dyDescent="0.2">
      <c r="B5" s="4" t="s">
        <v>746</v>
      </c>
      <c r="C5" s="45">
        <f>ROUNDUP(0.05*1.3*1.25,3)</f>
        <v>8.2000000000000003E-2</v>
      </c>
      <c r="D5" s="45">
        <v>8.2000000000000003E-2</v>
      </c>
      <c r="E5" s="4" t="str">
        <f t="shared" si="0"/>
        <v>OK</v>
      </c>
      <c r="F5" s="9" t="s">
        <v>747</v>
      </c>
    </row>
    <row r="6" spans="2:6" ht="16" x14ac:dyDescent="0.2">
      <c r="B6" s="4" t="s">
        <v>748</v>
      </c>
      <c r="C6" s="45">
        <f>ROUND(0.15/14.5,4)</f>
        <v>1.03E-2</v>
      </c>
      <c r="D6" s="45">
        <v>1.03E-2</v>
      </c>
      <c r="E6" s="4" t="str">
        <f t="shared" si="0"/>
        <v>OK</v>
      </c>
      <c r="F6" s="9" t="s">
        <v>749</v>
      </c>
    </row>
    <row r="7" spans="2:6" ht="16" x14ac:dyDescent="0.2">
      <c r="B7" s="4" t="s">
        <v>750</v>
      </c>
      <c r="C7" s="45">
        <f>ROUND(11/250,4)</f>
        <v>4.3999999999999997E-2</v>
      </c>
      <c r="D7" s="45">
        <v>4.3999999999999997E-2</v>
      </c>
      <c r="E7" s="4" t="str">
        <f t="shared" si="0"/>
        <v>OK</v>
      </c>
      <c r="F7" s="9" t="s">
        <v>751</v>
      </c>
    </row>
    <row r="8" spans="2:6" ht="16" x14ac:dyDescent="0.2">
      <c r="B8" s="4" t="s">
        <v>752</v>
      </c>
      <c r="C8" s="45">
        <f>ROUND(0.45*Defaults!$C$24*Defaults!$C$25*Defaults!$C$4,4)</f>
        <v>2.1899999999999999E-2</v>
      </c>
      <c r="D8" s="45">
        <v>2.1899999999999999E-2</v>
      </c>
      <c r="E8" s="4" t="str">
        <f t="shared" si="0"/>
        <v>OK</v>
      </c>
      <c r="F8" s="9" t="s">
        <v>135</v>
      </c>
    </row>
    <row r="9" spans="2:6" ht="16" x14ac:dyDescent="0.2">
      <c r="B9" s="4" t="s">
        <v>753</v>
      </c>
      <c r="C9" s="45">
        <f>ROUND('S1 T1 Distributed default'!M136*'S1 T1 Distributed default'!$D$80*'S1 T1 Distributed default'!$D$88*(1-'S1 T1 Distributed default'!$D$91)*Defaults!$C$5*(1-'S1 T1 Distributed default'!$D$36),0)</f>
        <v>1805</v>
      </c>
      <c r="D9" s="45">
        <f>ROUND('S1 T1 Distributed default'!M140,0)</f>
        <v>1805</v>
      </c>
      <c r="E9" s="4" t="str">
        <f t="shared" si="0"/>
        <v>OK</v>
      </c>
      <c r="F9" s="9" t="s">
        <v>119</v>
      </c>
    </row>
    <row r="10" spans="2:6" ht="16" x14ac:dyDescent="0.2">
      <c r="B10" s="4" t="s">
        <v>754</v>
      </c>
      <c r="C10" s="45">
        <f>ROUND('S1 T1 Distributed default'!M165*(1-'S1 T1 Distributed default'!$D$46-'S1 T1 Distributed default'!$D$28),0)</f>
        <v>1416</v>
      </c>
      <c r="D10" s="45">
        <f>ROUND('S1 T1 Distributed default'!M171,0)</f>
        <v>1416</v>
      </c>
      <c r="E10" s="4" t="str">
        <f t="shared" si="0"/>
        <v>OK</v>
      </c>
      <c r="F10" s="9" t="s">
        <v>164</v>
      </c>
    </row>
    <row r="11" spans="2:6" ht="16" x14ac:dyDescent="0.2">
      <c r="B11" s="4" t="s">
        <v>755</v>
      </c>
      <c r="C11" s="45">
        <f>ROUND('S3 T3 Industrial soil'!M139/'S3 T3 Industrial soil'!M150,2)</f>
        <v>26.49</v>
      </c>
      <c r="D11" s="45">
        <f>ROUND('S3 T3 Industrial soil'!M166,2)</f>
        <v>26.49</v>
      </c>
      <c r="E11" s="4" t="str">
        <f t="shared" si="0"/>
        <v>OK</v>
      </c>
      <c r="F11" s="9" t="s">
        <v>161</v>
      </c>
    </row>
    <row r="12" spans="2:6" ht="16" x14ac:dyDescent="0.2">
      <c r="B12" s="4" t="s">
        <v>756</v>
      </c>
      <c r="C12" s="45">
        <f>ROUND(('S3 T3 Industrial soil'!M143+'S3 T3 Industrial soil'!M144+'S3 T3 Industrial soil'!M145+'S3 T3 Industrial soil'!M146+'S3 T3 Industrial soil'!M147+'S3 T3 Industrial soil'!M148+'S3 T3 Industrial soil'!M149)*(1+'S3 T3 Industrial soil'!$D$37),0)</f>
        <v>2254</v>
      </c>
      <c r="D12" s="45">
        <f>ROUND('S3 T3 Industrial soil'!M151,0)</f>
        <v>2254</v>
      </c>
      <c r="E12" s="4" t="str">
        <f t="shared" si="0"/>
        <v>OK</v>
      </c>
      <c r="F12" s="9" t="s">
        <v>132</v>
      </c>
    </row>
    <row r="13" spans="2:6" ht="16" x14ac:dyDescent="0.2">
      <c r="B13" s="4" t="s">
        <v>757</v>
      </c>
      <c r="C13" s="45">
        <f>MAX(Defaults!$C$31,Defaults!$C$30-Defaults!$C$89-Defaults!$C$90-Defaults!$C$92-Defaults!$C$93)</f>
        <v>2.5000000000000001E-2</v>
      </c>
      <c r="D13" s="45">
        <v>2.5000000000000001E-2</v>
      </c>
      <c r="E13" s="4" t="str">
        <f t="shared" si="0"/>
        <v>OK</v>
      </c>
      <c r="F13" s="9" t="s">
        <v>758</v>
      </c>
    </row>
    <row r="14" spans="2:6" ht="16" x14ac:dyDescent="0.2">
      <c r="B14" s="4" t="s">
        <v>759</v>
      </c>
      <c r="C14" s="45">
        <f>'S1M T1 Distributed measured'!$D$100</f>
        <v>5.4999999999999997E-3</v>
      </c>
      <c r="D14" s="45">
        <v>5.4999999999999997E-3</v>
      </c>
      <c r="E14" s="4" t="str">
        <f t="shared" si="0"/>
        <v>OK</v>
      </c>
      <c r="F14" s="9" t="s">
        <v>413</v>
      </c>
    </row>
  </sheetData>
  <sheetProtection password="8666" sheet="1" formatColumns="0" formatRows="0"/>
  <pageMargins left="0.75" right="0.75" top="1" bottom="1" header="0.511811023622047" footer="0.511811023622047"/>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I154"/>
  <sheetViews>
    <sheetView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8.5" defaultRowHeight="15" x14ac:dyDescent="0.2"/>
  <cols>
    <col min="1" max="1" width="3.1640625" customWidth="1"/>
    <col min="2" max="2" width="60" customWidth="1"/>
    <col min="3" max="9" width="14" customWidth="1"/>
    <col min="10" max="10" width="40" customWidth="1"/>
  </cols>
  <sheetData>
    <row r="1" spans="2:5" ht="25" x14ac:dyDescent="0.25">
      <c r="B1" s="14" t="s">
        <v>760</v>
      </c>
    </row>
    <row r="3" spans="2:5" ht="16" x14ac:dyDescent="0.2">
      <c r="B3" s="71" t="s">
        <v>761</v>
      </c>
    </row>
    <row r="4" spans="2:5" ht="16" x14ac:dyDescent="0.2">
      <c r="B4" s="4" t="s">
        <v>762</v>
      </c>
      <c r="C4" s="5">
        <v>28</v>
      </c>
      <c r="D4" s="4" t="s">
        <v>267</v>
      </c>
      <c r="E4" s="9" t="s">
        <v>763</v>
      </c>
    </row>
    <row r="5" spans="2:5" ht="16" x14ac:dyDescent="0.2">
      <c r="B5" s="4" t="s">
        <v>764</v>
      </c>
      <c r="C5" s="66">
        <v>3.6666666666666701</v>
      </c>
      <c r="D5" s="4" t="s">
        <v>765</v>
      </c>
      <c r="E5" s="9" t="s">
        <v>119</v>
      </c>
    </row>
    <row r="6" spans="2:5" ht="16" x14ac:dyDescent="0.2">
      <c r="B6" s="4" t="s">
        <v>766</v>
      </c>
      <c r="C6" s="5">
        <v>5</v>
      </c>
      <c r="D6" s="4" t="s">
        <v>382</v>
      </c>
      <c r="E6" s="9" t="s">
        <v>767</v>
      </c>
    </row>
    <row r="7" spans="2:5" ht="16" x14ac:dyDescent="0.2">
      <c r="B7" s="4" t="s">
        <v>768</v>
      </c>
      <c r="C7" s="67">
        <v>0.05</v>
      </c>
      <c r="D7" s="4" t="s">
        <v>263</v>
      </c>
      <c r="E7" s="9" t="s">
        <v>769</v>
      </c>
    </row>
    <row r="8" spans="2:5" ht="16" x14ac:dyDescent="0.2">
      <c r="B8" s="4" t="s">
        <v>770</v>
      </c>
      <c r="C8" s="67">
        <v>0.05</v>
      </c>
      <c r="D8" s="4" t="s">
        <v>263</v>
      </c>
      <c r="E8" s="9" t="s">
        <v>769</v>
      </c>
    </row>
    <row r="9" spans="2:5" ht="16" x14ac:dyDescent="0.2">
      <c r="B9" s="4" t="s">
        <v>771</v>
      </c>
      <c r="C9" s="67">
        <v>0.01</v>
      </c>
      <c r="D9" s="4" t="s">
        <v>263</v>
      </c>
      <c r="E9" s="9" t="s">
        <v>291</v>
      </c>
    </row>
    <row r="10" spans="2:5" ht="16" x14ac:dyDescent="0.2">
      <c r="B10" s="4" t="s">
        <v>772</v>
      </c>
      <c r="C10" s="67">
        <v>0.05</v>
      </c>
      <c r="D10" s="4" t="s">
        <v>263</v>
      </c>
      <c r="E10" s="9" t="s">
        <v>291</v>
      </c>
    </row>
    <row r="11" spans="2:5" ht="16" x14ac:dyDescent="0.2">
      <c r="B11" s="4" t="s">
        <v>773</v>
      </c>
      <c r="C11" s="68">
        <v>0.15</v>
      </c>
      <c r="D11" s="4" t="s">
        <v>263</v>
      </c>
      <c r="E11" s="9" t="s">
        <v>774</v>
      </c>
    </row>
    <row r="12" spans="2:5" ht="16" x14ac:dyDescent="0.2">
      <c r="B12" s="4" t="s">
        <v>775</v>
      </c>
      <c r="C12" s="5">
        <v>0.95</v>
      </c>
      <c r="D12" s="4" t="s">
        <v>263</v>
      </c>
      <c r="E12" s="9" t="s">
        <v>130</v>
      </c>
    </row>
    <row r="13" spans="2:5" ht="16" x14ac:dyDescent="0.2">
      <c r="B13" s="4" t="s">
        <v>776</v>
      </c>
      <c r="C13" s="5">
        <v>0.95</v>
      </c>
      <c r="D13" s="4" t="s">
        <v>263</v>
      </c>
      <c r="E13" s="9" t="s">
        <v>777</v>
      </c>
    </row>
    <row r="14" spans="2:5" ht="16" x14ac:dyDescent="0.2">
      <c r="B14" s="4" t="s">
        <v>778</v>
      </c>
      <c r="C14" s="5">
        <v>25</v>
      </c>
      <c r="D14" s="4" t="s">
        <v>257</v>
      </c>
      <c r="E14" s="9" t="s">
        <v>779</v>
      </c>
    </row>
    <row r="15" spans="2:5" ht="16" x14ac:dyDescent="0.2">
      <c r="B15" s="4" t="s">
        <v>780</v>
      </c>
      <c r="C15" s="5">
        <v>7</v>
      </c>
      <c r="D15" s="4" t="s">
        <v>257</v>
      </c>
      <c r="E15" s="9" t="s">
        <v>260</v>
      </c>
    </row>
    <row r="16" spans="2:5" ht="16" x14ac:dyDescent="0.2">
      <c r="B16" s="4" t="s">
        <v>781</v>
      </c>
      <c r="C16" s="5">
        <v>40</v>
      </c>
      <c r="D16" s="4" t="s">
        <v>257</v>
      </c>
      <c r="E16" s="9" t="s">
        <v>260</v>
      </c>
    </row>
    <row r="17" spans="2:5" ht="16" x14ac:dyDescent="0.2">
      <c r="B17" s="4" t="s">
        <v>782</v>
      </c>
      <c r="C17" s="69">
        <v>0.4</v>
      </c>
      <c r="D17" s="4" t="s">
        <v>783</v>
      </c>
      <c r="E17" s="9" t="s">
        <v>130</v>
      </c>
    </row>
    <row r="18" spans="2:5" ht="16" x14ac:dyDescent="0.2">
      <c r="B18" s="4" t="s">
        <v>784</v>
      </c>
      <c r="C18" s="69">
        <v>0.5</v>
      </c>
      <c r="D18" s="4" t="s">
        <v>783</v>
      </c>
      <c r="E18" s="9" t="s">
        <v>785</v>
      </c>
    </row>
    <row r="19" spans="2:5" ht="16" x14ac:dyDescent="0.2">
      <c r="B19" s="4" t="s">
        <v>786</v>
      </c>
      <c r="C19" s="5">
        <v>8.2000000000000003E-2</v>
      </c>
      <c r="D19" s="4" t="s">
        <v>787</v>
      </c>
      <c r="E19" s="9" t="s">
        <v>788</v>
      </c>
    </row>
    <row r="20" spans="2:5" ht="16" x14ac:dyDescent="0.2">
      <c r="B20" s="4" t="s">
        <v>789</v>
      </c>
      <c r="C20" s="5">
        <v>0.02</v>
      </c>
      <c r="D20" s="4" t="s">
        <v>790</v>
      </c>
      <c r="E20" s="9" t="s">
        <v>791</v>
      </c>
    </row>
    <row r="21" spans="2:5" ht="16" x14ac:dyDescent="0.2">
      <c r="B21" s="4" t="s">
        <v>792</v>
      </c>
      <c r="C21" s="5">
        <v>0.05</v>
      </c>
      <c r="D21" s="4" t="s">
        <v>790</v>
      </c>
      <c r="E21" s="9" t="s">
        <v>791</v>
      </c>
    </row>
    <row r="22" spans="2:5" ht="16" x14ac:dyDescent="0.2">
      <c r="B22" s="4" t="s">
        <v>793</v>
      </c>
      <c r="C22" s="5">
        <v>0.15</v>
      </c>
      <c r="D22" s="4" t="s">
        <v>794</v>
      </c>
      <c r="E22" s="9" t="s">
        <v>795</v>
      </c>
    </row>
    <row r="23" spans="2:5" ht="16" x14ac:dyDescent="0.2">
      <c r="B23" s="4" t="s">
        <v>796</v>
      </c>
      <c r="C23" s="68">
        <v>0.15</v>
      </c>
      <c r="D23" s="4" t="s">
        <v>263</v>
      </c>
      <c r="E23" s="9" t="s">
        <v>797</v>
      </c>
    </row>
    <row r="24" spans="2:5" ht="16" x14ac:dyDescent="0.2">
      <c r="B24" s="4" t="s">
        <v>798</v>
      </c>
      <c r="C24" s="66">
        <v>1.2999999999999999E-3</v>
      </c>
      <c r="D24" s="4" t="s">
        <v>799</v>
      </c>
      <c r="E24" s="9" t="s">
        <v>464</v>
      </c>
    </row>
    <row r="25" spans="2:5" ht="16" x14ac:dyDescent="0.2">
      <c r="B25" s="4" t="s">
        <v>800</v>
      </c>
      <c r="C25" s="66">
        <v>1.3355537052456301</v>
      </c>
      <c r="D25" s="4" t="s">
        <v>801</v>
      </c>
      <c r="E25" s="9" t="s">
        <v>135</v>
      </c>
    </row>
    <row r="26" spans="2:5" ht="16" x14ac:dyDescent="0.2">
      <c r="B26" s="4" t="s">
        <v>802</v>
      </c>
      <c r="C26" s="5">
        <v>5.0000000000000001E-3</v>
      </c>
      <c r="D26" s="4" t="s">
        <v>794</v>
      </c>
      <c r="E26" s="9" t="s">
        <v>413</v>
      </c>
    </row>
    <row r="27" spans="2:5" ht="16" x14ac:dyDescent="0.2">
      <c r="B27" s="4" t="s">
        <v>803</v>
      </c>
      <c r="C27" s="67">
        <v>0.1</v>
      </c>
      <c r="D27" s="4" t="s">
        <v>263</v>
      </c>
      <c r="E27" s="9" t="s">
        <v>804</v>
      </c>
    </row>
    <row r="28" spans="2:5" ht="16" x14ac:dyDescent="0.2">
      <c r="B28" s="4" t="s">
        <v>805</v>
      </c>
      <c r="C28" s="67">
        <v>0.03</v>
      </c>
      <c r="D28" s="4" t="s">
        <v>263</v>
      </c>
      <c r="E28" s="9" t="s">
        <v>804</v>
      </c>
    </row>
    <row r="29" spans="2:5" ht="16" x14ac:dyDescent="0.2">
      <c r="B29" s="4" t="s">
        <v>806</v>
      </c>
      <c r="C29" s="67">
        <v>2.5000000000000001E-2</v>
      </c>
      <c r="D29" s="4" t="s">
        <v>263</v>
      </c>
      <c r="E29" s="9" t="s">
        <v>807</v>
      </c>
    </row>
    <row r="30" spans="2:5" ht="16" x14ac:dyDescent="0.2">
      <c r="B30" s="4" t="s">
        <v>808</v>
      </c>
      <c r="C30" s="67">
        <v>7.4999999999999997E-2</v>
      </c>
      <c r="D30" s="4" t="s">
        <v>263</v>
      </c>
      <c r="E30" s="9" t="s">
        <v>809</v>
      </c>
    </row>
    <row r="31" spans="2:5" ht="16" x14ac:dyDescent="0.2">
      <c r="B31" s="4" t="s">
        <v>810</v>
      </c>
      <c r="C31" s="67">
        <v>2.5000000000000001E-2</v>
      </c>
      <c r="D31" s="4" t="s">
        <v>263</v>
      </c>
      <c r="E31" s="9" t="s">
        <v>811</v>
      </c>
    </row>
    <row r="32" spans="2:5" ht="16" x14ac:dyDescent="0.2">
      <c r="B32" s="4" t="s">
        <v>812</v>
      </c>
      <c r="C32" s="5">
        <v>0.19</v>
      </c>
      <c r="D32" s="4" t="s">
        <v>813</v>
      </c>
      <c r="E32" s="9" t="s">
        <v>814</v>
      </c>
    </row>
    <row r="33" spans="2:5" ht="16" x14ac:dyDescent="0.2">
      <c r="B33" s="4" t="s">
        <v>815</v>
      </c>
      <c r="C33" s="5">
        <v>12.1</v>
      </c>
      <c r="D33" s="4" t="s">
        <v>816</v>
      </c>
      <c r="E33" s="9" t="s">
        <v>814</v>
      </c>
    </row>
    <row r="34" spans="2:5" ht="16" x14ac:dyDescent="0.2">
      <c r="B34" s="4" t="s">
        <v>817</v>
      </c>
      <c r="C34" s="65">
        <v>8.0000000000000002E-3</v>
      </c>
      <c r="D34" s="4" t="s">
        <v>818</v>
      </c>
      <c r="E34" s="9" t="s">
        <v>819</v>
      </c>
    </row>
    <row r="35" spans="2:5" ht="16" x14ac:dyDescent="0.2">
      <c r="B35" s="4" t="s">
        <v>820</v>
      </c>
      <c r="C35" s="65">
        <v>3.0000000000000001E-3</v>
      </c>
      <c r="D35" s="4" t="s">
        <v>818</v>
      </c>
      <c r="E35" s="9" t="s">
        <v>819</v>
      </c>
    </row>
    <row r="36" spans="2:5" ht="16" x14ac:dyDescent="0.2">
      <c r="B36" s="4" t="s">
        <v>821</v>
      </c>
      <c r="C36" s="65">
        <v>1.4999999999999999E-2</v>
      </c>
      <c r="D36" s="4" t="s">
        <v>818</v>
      </c>
      <c r="E36" s="9" t="s">
        <v>819</v>
      </c>
    </row>
    <row r="37" spans="2:5" ht="16" x14ac:dyDescent="0.2">
      <c r="B37" s="4" t="s">
        <v>822</v>
      </c>
      <c r="C37" s="65">
        <v>1.2E-2</v>
      </c>
      <c r="D37" s="4" t="s">
        <v>818</v>
      </c>
      <c r="E37" s="9" t="s">
        <v>819</v>
      </c>
    </row>
    <row r="38" spans="2:5" ht="16" x14ac:dyDescent="0.2">
      <c r="B38" s="4" t="s">
        <v>823</v>
      </c>
      <c r="C38" s="65">
        <v>3.0000000000000001E-3</v>
      </c>
      <c r="D38" s="4" t="s">
        <v>818</v>
      </c>
      <c r="E38" s="9" t="s">
        <v>819</v>
      </c>
    </row>
    <row r="39" spans="2:5" ht="16" x14ac:dyDescent="0.2">
      <c r="B39" s="4" t="s">
        <v>824</v>
      </c>
      <c r="C39" s="65">
        <v>1.4999999999999999E-2</v>
      </c>
      <c r="D39" s="4" t="s">
        <v>818</v>
      </c>
      <c r="E39" s="9" t="s">
        <v>819</v>
      </c>
    </row>
    <row r="40" spans="2:5" ht="16" x14ac:dyDescent="0.2">
      <c r="B40" s="4" t="s">
        <v>825</v>
      </c>
      <c r="C40" s="65">
        <v>5.0000000000000001E-3</v>
      </c>
      <c r="D40" s="4" t="s">
        <v>818</v>
      </c>
      <c r="E40" s="9" t="s">
        <v>819</v>
      </c>
    </row>
    <row r="41" spans="2:5" ht="16" x14ac:dyDescent="0.2">
      <c r="B41" s="4" t="s">
        <v>826</v>
      </c>
      <c r="C41" s="65">
        <v>1E-3</v>
      </c>
      <c r="D41" s="4" t="s">
        <v>818</v>
      </c>
      <c r="E41" s="9" t="s">
        <v>819</v>
      </c>
    </row>
    <row r="42" spans="2:5" ht="16" x14ac:dyDescent="0.2">
      <c r="B42" s="4" t="s">
        <v>827</v>
      </c>
      <c r="C42" s="65">
        <v>4.0000000000000001E-3</v>
      </c>
      <c r="D42" s="4" t="s">
        <v>818</v>
      </c>
      <c r="E42" s="9" t="s">
        <v>819</v>
      </c>
    </row>
    <row r="43" spans="2:5" ht="16" x14ac:dyDescent="0.2">
      <c r="B43" s="4" t="s">
        <v>828</v>
      </c>
      <c r="C43" s="5">
        <v>1.5</v>
      </c>
      <c r="D43" s="4" t="s">
        <v>829</v>
      </c>
      <c r="E43" s="9" t="s">
        <v>814</v>
      </c>
    </row>
    <row r="44" spans="2:5" ht="16" x14ac:dyDescent="0.2">
      <c r="B44" s="4" t="s">
        <v>830</v>
      </c>
      <c r="C44" s="5">
        <v>0.6</v>
      </c>
      <c r="D44" s="4" t="s">
        <v>831</v>
      </c>
      <c r="E44" s="9" t="s">
        <v>814</v>
      </c>
    </row>
    <row r="45" spans="2:5" ht="16" x14ac:dyDescent="0.2">
      <c r="B45" s="4" t="s">
        <v>832</v>
      </c>
      <c r="C45" s="68">
        <v>0.7</v>
      </c>
      <c r="D45" s="4" t="s">
        <v>263</v>
      </c>
      <c r="E45" s="9" t="s">
        <v>340</v>
      </c>
    </row>
    <row r="46" spans="2:5" ht="16" x14ac:dyDescent="0.2">
      <c r="B46" s="4" t="s">
        <v>833</v>
      </c>
      <c r="C46" s="72">
        <v>60000</v>
      </c>
      <c r="D46" s="4" t="s">
        <v>834</v>
      </c>
      <c r="E46" s="9" t="s">
        <v>240</v>
      </c>
    </row>
    <row r="47" spans="2:5" ht="16" x14ac:dyDescent="0.2">
      <c r="B47" s="4" t="s">
        <v>835</v>
      </c>
      <c r="C47" s="73">
        <v>1.2500000000000001E-2</v>
      </c>
      <c r="D47" s="4" t="s">
        <v>263</v>
      </c>
      <c r="E47" s="9" t="s">
        <v>836</v>
      </c>
    </row>
    <row r="48" spans="2:5" ht="16" x14ac:dyDescent="0.2">
      <c r="B48" s="4" t="s">
        <v>837</v>
      </c>
      <c r="C48" s="5">
        <v>50</v>
      </c>
      <c r="D48" s="4" t="s">
        <v>838</v>
      </c>
      <c r="E48" s="9" t="s">
        <v>403</v>
      </c>
    </row>
    <row r="50" spans="2:6" ht="16" x14ac:dyDescent="0.2">
      <c r="B50" s="71" t="s">
        <v>839</v>
      </c>
    </row>
    <row r="51" spans="2:6" ht="16" x14ac:dyDescent="0.2">
      <c r="B51" s="12" t="s">
        <v>840</v>
      </c>
      <c r="C51" s="12" t="s">
        <v>841</v>
      </c>
      <c r="D51" s="12" t="s">
        <v>315</v>
      </c>
      <c r="E51" s="12" t="s">
        <v>842</v>
      </c>
      <c r="F51" s="12" t="s">
        <v>843</v>
      </c>
    </row>
    <row r="52" spans="2:6" ht="16" x14ac:dyDescent="0.2">
      <c r="B52" s="4" t="s">
        <v>309</v>
      </c>
      <c r="C52" s="5">
        <v>0.55000000000000004</v>
      </c>
      <c r="D52" s="5">
        <v>0.15</v>
      </c>
      <c r="E52" s="5">
        <v>0.32</v>
      </c>
      <c r="F52" s="9" t="s">
        <v>844</v>
      </c>
    </row>
    <row r="53" spans="2:6" ht="16" x14ac:dyDescent="0.2">
      <c r="B53" s="4" t="s">
        <v>580</v>
      </c>
      <c r="C53" s="5">
        <v>0.55000000000000004</v>
      </c>
      <c r="D53" s="5">
        <v>0.15</v>
      </c>
      <c r="E53" s="5">
        <v>0.42</v>
      </c>
      <c r="F53" s="9" t="s">
        <v>844</v>
      </c>
    </row>
    <row r="54" spans="2:6" ht="16" x14ac:dyDescent="0.2">
      <c r="B54" s="4" t="s">
        <v>595</v>
      </c>
      <c r="C54" s="5">
        <v>0.45</v>
      </c>
      <c r="D54" s="5">
        <v>0.15</v>
      </c>
      <c r="E54" s="5">
        <v>0.38</v>
      </c>
      <c r="F54" s="9" t="s">
        <v>844</v>
      </c>
    </row>
    <row r="55" spans="2:6" ht="16" x14ac:dyDescent="0.2">
      <c r="B55" s="4" t="s">
        <v>845</v>
      </c>
      <c r="C55" s="5">
        <v>0.35</v>
      </c>
      <c r="D55" s="5">
        <v>0.15</v>
      </c>
      <c r="E55" s="5">
        <v>0.5</v>
      </c>
      <c r="F55" s="9" t="s">
        <v>844</v>
      </c>
    </row>
    <row r="56" spans="2:6" ht="16" x14ac:dyDescent="0.2">
      <c r="B56" s="4" t="s">
        <v>846</v>
      </c>
      <c r="C56" s="5">
        <v>0.25</v>
      </c>
      <c r="D56" s="5">
        <v>0</v>
      </c>
      <c r="E56" s="5">
        <v>0</v>
      </c>
      <c r="F56" s="9" t="s">
        <v>847</v>
      </c>
    </row>
    <row r="57" spans="2:6" ht="16" x14ac:dyDescent="0.2">
      <c r="B57" s="4" t="s">
        <v>608</v>
      </c>
      <c r="C57" s="5">
        <v>0.25</v>
      </c>
      <c r="D57" s="5">
        <v>0</v>
      </c>
      <c r="E57" s="5">
        <v>0</v>
      </c>
      <c r="F57" s="9" t="s">
        <v>847</v>
      </c>
    </row>
    <row r="59" spans="2:6" ht="16" x14ac:dyDescent="0.2">
      <c r="B59" s="71" t="s">
        <v>848</v>
      </c>
    </row>
    <row r="60" spans="2:6" ht="16" x14ac:dyDescent="0.2">
      <c r="B60" s="12" t="s">
        <v>849</v>
      </c>
      <c r="C60" s="12" t="s">
        <v>410</v>
      </c>
    </row>
    <row r="61" spans="2:6" ht="16" x14ac:dyDescent="0.2">
      <c r="B61" s="4" t="s">
        <v>322</v>
      </c>
      <c r="C61" s="66">
        <v>5.4999999999999997E-3</v>
      </c>
    </row>
    <row r="62" spans="2:6" ht="16" x14ac:dyDescent="0.2">
      <c r="B62" s="4" t="s">
        <v>850</v>
      </c>
      <c r="C62" s="66">
        <v>0.02</v>
      </c>
    </row>
    <row r="63" spans="2:6" ht="16" x14ac:dyDescent="0.2">
      <c r="B63" s="4" t="s">
        <v>851</v>
      </c>
      <c r="C63" s="66">
        <v>0</v>
      </c>
    </row>
    <row r="65" spans="2:3" ht="16" x14ac:dyDescent="0.2">
      <c r="B65" s="71" t="s">
        <v>852</v>
      </c>
    </row>
    <row r="66" spans="2:3" ht="16" x14ac:dyDescent="0.2">
      <c r="B66" s="12" t="s">
        <v>395</v>
      </c>
      <c r="C66" s="12" t="s">
        <v>400</v>
      </c>
    </row>
    <row r="67" spans="2:3" ht="16" x14ac:dyDescent="0.2">
      <c r="B67" s="4" t="s">
        <v>582</v>
      </c>
      <c r="C67" s="68">
        <v>0.05</v>
      </c>
    </row>
    <row r="68" spans="2:3" ht="16" x14ac:dyDescent="0.2">
      <c r="B68" s="4" t="s">
        <v>396</v>
      </c>
      <c r="C68" s="68">
        <v>0.02</v>
      </c>
    </row>
    <row r="69" spans="2:3" ht="16" x14ac:dyDescent="0.2">
      <c r="B69" s="4" t="s">
        <v>602</v>
      </c>
      <c r="C69" s="68">
        <v>0.01</v>
      </c>
    </row>
    <row r="70" spans="2:3" ht="16" x14ac:dyDescent="0.2">
      <c r="B70" s="4" t="s">
        <v>610</v>
      </c>
      <c r="C70" s="68">
        <v>0.01</v>
      </c>
    </row>
    <row r="72" spans="2:3" ht="16" x14ac:dyDescent="0.2">
      <c r="B72" s="71" t="s">
        <v>853</v>
      </c>
    </row>
    <row r="73" spans="2:3" ht="16" x14ac:dyDescent="0.2">
      <c r="B73" s="12" t="s">
        <v>854</v>
      </c>
      <c r="C73" s="12" t="s">
        <v>855</v>
      </c>
    </row>
    <row r="74" spans="2:3" ht="16" x14ac:dyDescent="0.2">
      <c r="B74" s="4" t="s">
        <v>328</v>
      </c>
      <c r="C74" s="69">
        <v>0</v>
      </c>
    </row>
    <row r="75" spans="2:3" ht="16" x14ac:dyDescent="0.2">
      <c r="B75" s="4" t="s">
        <v>856</v>
      </c>
      <c r="C75" s="69">
        <v>1.75</v>
      </c>
    </row>
    <row r="76" spans="2:3" ht="16" x14ac:dyDescent="0.2">
      <c r="B76" s="4" t="s">
        <v>857</v>
      </c>
      <c r="C76" s="69">
        <v>1.3</v>
      </c>
    </row>
    <row r="77" spans="2:3" ht="16" x14ac:dyDescent="0.2">
      <c r="B77" s="4" t="s">
        <v>858</v>
      </c>
      <c r="C77" s="69">
        <v>0.27</v>
      </c>
    </row>
    <row r="78" spans="2:3" ht="16" x14ac:dyDescent="0.2">
      <c r="B78" s="4" t="s">
        <v>859</v>
      </c>
      <c r="C78" s="69">
        <v>0.2</v>
      </c>
    </row>
    <row r="79" spans="2:3" ht="16" x14ac:dyDescent="0.2">
      <c r="B79" s="4" t="s">
        <v>860</v>
      </c>
      <c r="C79" s="69">
        <v>0</v>
      </c>
    </row>
    <row r="81" spans="2:4" ht="16" x14ac:dyDescent="0.2">
      <c r="B81" s="71" t="s">
        <v>861</v>
      </c>
    </row>
    <row r="82" spans="2:4" ht="16" x14ac:dyDescent="0.2">
      <c r="B82" s="12" t="s">
        <v>440</v>
      </c>
      <c r="C82" s="12" t="s">
        <v>654</v>
      </c>
      <c r="D82" s="12" t="s">
        <v>862</v>
      </c>
    </row>
    <row r="83" spans="2:4" ht="16" x14ac:dyDescent="0.2">
      <c r="B83" s="4" t="s">
        <v>665</v>
      </c>
      <c r="C83" s="67">
        <v>0.04</v>
      </c>
      <c r="D83" s="9" t="s">
        <v>621</v>
      </c>
    </row>
    <row r="84" spans="2:4" ht="16" x14ac:dyDescent="0.2">
      <c r="B84" s="4" t="s">
        <v>666</v>
      </c>
      <c r="C84" s="67">
        <v>0.02</v>
      </c>
      <c r="D84" s="9" t="s">
        <v>621</v>
      </c>
    </row>
    <row r="85" spans="2:4" ht="16" x14ac:dyDescent="0.2">
      <c r="B85" s="4" t="s">
        <v>667</v>
      </c>
      <c r="C85" s="67">
        <v>0.05</v>
      </c>
      <c r="D85" s="9" t="s">
        <v>621</v>
      </c>
    </row>
    <row r="86" spans="2:4" ht="16" x14ac:dyDescent="0.2">
      <c r="B86" s="4" t="s">
        <v>668</v>
      </c>
      <c r="C86" s="67">
        <v>1.4999999999999999E-2</v>
      </c>
      <c r="D86" s="9" t="s">
        <v>621</v>
      </c>
    </row>
    <row r="87" spans="2:4" ht="16" x14ac:dyDescent="0.2">
      <c r="B87" s="4" t="s">
        <v>669</v>
      </c>
      <c r="C87" s="67">
        <v>0.01</v>
      </c>
      <c r="D87" s="9" t="s">
        <v>621</v>
      </c>
    </row>
    <row r="88" spans="2:4" ht="16" x14ac:dyDescent="0.2">
      <c r="B88" s="4" t="s">
        <v>670</v>
      </c>
      <c r="C88" s="67">
        <v>0.02</v>
      </c>
      <c r="D88" s="9" t="s">
        <v>621</v>
      </c>
    </row>
    <row r="89" spans="2:4" ht="16" x14ac:dyDescent="0.2">
      <c r="B89" s="4" t="s">
        <v>673</v>
      </c>
      <c r="C89" s="67">
        <v>2.5000000000000001E-2</v>
      </c>
      <c r="D89" s="9" t="s">
        <v>634</v>
      </c>
    </row>
    <row r="90" spans="2:4" ht="16" x14ac:dyDescent="0.2">
      <c r="B90" s="4" t="s">
        <v>674</v>
      </c>
      <c r="C90" s="67">
        <v>0.02</v>
      </c>
      <c r="D90" s="9" t="s">
        <v>634</v>
      </c>
    </row>
    <row r="91" spans="2:4" ht="16" x14ac:dyDescent="0.2">
      <c r="B91" s="4" t="s">
        <v>863</v>
      </c>
      <c r="C91" s="67">
        <v>0.04</v>
      </c>
      <c r="D91" s="9" t="s">
        <v>634</v>
      </c>
    </row>
    <row r="92" spans="2:4" ht="16" x14ac:dyDescent="0.2">
      <c r="B92" s="4" t="s">
        <v>676</v>
      </c>
      <c r="C92" s="67">
        <v>0.01</v>
      </c>
      <c r="D92" s="9" t="s">
        <v>634</v>
      </c>
    </row>
    <row r="93" spans="2:4" ht="16" x14ac:dyDescent="0.2">
      <c r="B93" s="4" t="s">
        <v>677</v>
      </c>
      <c r="C93" s="67">
        <v>2.5000000000000001E-2</v>
      </c>
      <c r="D93" s="9" t="s">
        <v>634</v>
      </c>
    </row>
    <row r="95" spans="2:4" ht="16" x14ac:dyDescent="0.2">
      <c r="B95" s="71" t="s">
        <v>864</v>
      </c>
    </row>
    <row r="96" spans="2:4" ht="16" x14ac:dyDescent="0.2">
      <c r="B96" s="12" t="s">
        <v>865</v>
      </c>
      <c r="C96" s="12" t="s">
        <v>866</v>
      </c>
    </row>
    <row r="97" spans="2:3" ht="16" x14ac:dyDescent="0.2">
      <c r="B97" s="4" t="s">
        <v>867</v>
      </c>
      <c r="C97" s="69">
        <v>0.5</v>
      </c>
    </row>
    <row r="98" spans="2:3" ht="16" x14ac:dyDescent="0.2">
      <c r="B98" s="4" t="s">
        <v>868</v>
      </c>
      <c r="C98" s="69">
        <v>0.1</v>
      </c>
    </row>
    <row r="99" spans="2:3" ht="16" x14ac:dyDescent="0.2">
      <c r="B99" s="4" t="s">
        <v>869</v>
      </c>
      <c r="C99" s="69">
        <v>1</v>
      </c>
    </row>
    <row r="100" spans="2:3" ht="16" x14ac:dyDescent="0.2">
      <c r="B100" s="4" t="s">
        <v>870</v>
      </c>
      <c r="C100" s="69">
        <v>1</v>
      </c>
    </row>
    <row r="102" spans="2:3" ht="16" x14ac:dyDescent="0.2">
      <c r="B102" s="71" t="s">
        <v>871</v>
      </c>
    </row>
    <row r="103" spans="2:3" ht="16" x14ac:dyDescent="0.2">
      <c r="B103" s="12" t="s">
        <v>872</v>
      </c>
      <c r="C103" s="12" t="s">
        <v>873</v>
      </c>
    </row>
    <row r="104" spans="2:3" ht="16" x14ac:dyDescent="0.2">
      <c r="B104" s="4">
        <v>2</v>
      </c>
      <c r="C104" s="5">
        <v>12.706</v>
      </c>
    </row>
    <row r="105" spans="2:3" ht="16" x14ac:dyDescent="0.2">
      <c r="B105" s="4">
        <v>3</v>
      </c>
      <c r="C105" s="5">
        <v>4.3029999999999999</v>
      </c>
    </row>
    <row r="106" spans="2:3" ht="16" x14ac:dyDescent="0.2">
      <c r="B106" s="4">
        <v>4</v>
      </c>
      <c r="C106" s="5">
        <v>3.1819999999999999</v>
      </c>
    </row>
    <row r="107" spans="2:3" ht="16" x14ac:dyDescent="0.2">
      <c r="B107" s="4">
        <v>5</v>
      </c>
      <c r="C107" s="5">
        <v>2.7759999999999998</v>
      </c>
    </row>
    <row r="108" spans="2:3" ht="16" x14ac:dyDescent="0.2">
      <c r="B108" s="4">
        <v>6</v>
      </c>
      <c r="C108" s="5">
        <v>2.5710000000000002</v>
      </c>
    </row>
    <row r="109" spans="2:3" ht="16" x14ac:dyDescent="0.2">
      <c r="B109" s="4">
        <v>7</v>
      </c>
      <c r="C109" s="5">
        <v>2.4470000000000001</v>
      </c>
    </row>
    <row r="110" spans="2:3" ht="16" x14ac:dyDescent="0.2">
      <c r="B110" s="4">
        <v>8</v>
      </c>
      <c r="C110" s="5">
        <v>2.3650000000000002</v>
      </c>
    </row>
    <row r="111" spans="2:3" ht="16" x14ac:dyDescent="0.2">
      <c r="B111" s="4">
        <v>9</v>
      </c>
      <c r="C111" s="5">
        <v>2.306</v>
      </c>
    </row>
    <row r="112" spans="2:3" ht="16" x14ac:dyDescent="0.2">
      <c r="B112" s="4">
        <v>10</v>
      </c>
      <c r="C112" s="5">
        <v>2.262</v>
      </c>
    </row>
    <row r="113" spans="2:9" ht="16" x14ac:dyDescent="0.2">
      <c r="B113" s="4">
        <v>12</v>
      </c>
      <c r="C113" s="5">
        <v>2.2010000000000001</v>
      </c>
    </row>
    <row r="114" spans="2:9" ht="16" x14ac:dyDescent="0.2">
      <c r="B114" s="4">
        <v>15</v>
      </c>
      <c r="C114" s="5">
        <v>2.145</v>
      </c>
    </row>
    <row r="115" spans="2:9" ht="16" x14ac:dyDescent="0.2">
      <c r="B115" s="4">
        <v>20</v>
      </c>
      <c r="C115" s="5">
        <v>2.093</v>
      </c>
    </row>
    <row r="116" spans="2:9" ht="16" x14ac:dyDescent="0.2">
      <c r="B116" s="4">
        <v>30</v>
      </c>
      <c r="C116" s="5">
        <v>2.0449999999999999</v>
      </c>
    </row>
    <row r="117" spans="2:9" ht="16" x14ac:dyDescent="0.2">
      <c r="B117" s="4">
        <v>60</v>
      </c>
      <c r="C117" s="5">
        <v>2.0009999999999999</v>
      </c>
    </row>
    <row r="119" spans="2:9" ht="16" x14ac:dyDescent="0.2">
      <c r="B119" s="71" t="s">
        <v>874</v>
      </c>
    </row>
    <row r="120" spans="2:9" ht="16" x14ac:dyDescent="0.2">
      <c r="B120" s="12" t="s">
        <v>875</v>
      </c>
      <c r="C120" s="74">
        <v>0.2</v>
      </c>
      <c r="D120" s="74">
        <v>0.25</v>
      </c>
      <c r="E120" s="74">
        <v>0.3</v>
      </c>
      <c r="F120" s="74">
        <v>0.35</v>
      </c>
      <c r="G120" s="74">
        <v>0.4</v>
      </c>
      <c r="H120" s="74">
        <v>0.45</v>
      </c>
      <c r="I120" s="74">
        <v>0.5</v>
      </c>
    </row>
    <row r="121" spans="2:9" ht="16" x14ac:dyDescent="0.2">
      <c r="B121" s="4">
        <v>7</v>
      </c>
      <c r="C121" s="65">
        <v>0.90700000000000003</v>
      </c>
      <c r="D121" s="65">
        <v>0.90100000000000002</v>
      </c>
      <c r="E121" s="65">
        <v>0.89400000000000002</v>
      </c>
      <c r="F121" s="65">
        <v>0.88800000000000001</v>
      </c>
      <c r="G121" s="65">
        <v>0.88100000000000001</v>
      </c>
      <c r="H121" s="65">
        <v>0.873</v>
      </c>
      <c r="I121" s="65">
        <v>0.86499999999999999</v>
      </c>
    </row>
    <row r="122" spans="2:9" ht="16" x14ac:dyDescent="0.2">
      <c r="B122" s="4">
        <v>8</v>
      </c>
      <c r="C122" s="65">
        <v>0.89400000000000002</v>
      </c>
      <c r="D122" s="65">
        <v>0.89100000000000001</v>
      </c>
      <c r="E122" s="65">
        <v>0.88500000000000001</v>
      </c>
      <c r="F122" s="65">
        <v>0.876</v>
      </c>
      <c r="G122" s="65">
        <v>0.86399999999999999</v>
      </c>
      <c r="H122" s="65">
        <v>0.85</v>
      </c>
      <c r="I122" s="65">
        <v>0.83299999999999996</v>
      </c>
    </row>
    <row r="123" spans="2:9" ht="16" x14ac:dyDescent="0.2">
      <c r="B123" s="4">
        <v>9</v>
      </c>
      <c r="C123" s="65">
        <v>0.88500000000000001</v>
      </c>
      <c r="D123" s="65">
        <v>0.88200000000000001</v>
      </c>
      <c r="E123" s="65">
        <v>0.876</v>
      </c>
      <c r="F123" s="65">
        <v>0.86599999999999999</v>
      </c>
      <c r="G123" s="65">
        <v>0.85099999999999998</v>
      </c>
      <c r="H123" s="65">
        <v>0.83099999999999996</v>
      </c>
      <c r="I123" s="65">
        <v>0.80800000000000005</v>
      </c>
    </row>
    <row r="124" spans="2:9" ht="16" x14ac:dyDescent="0.2">
      <c r="B124" s="4">
        <v>10</v>
      </c>
      <c r="C124" s="65">
        <v>0.877</v>
      </c>
      <c r="D124" s="65">
        <v>0.875</v>
      </c>
      <c r="E124" s="65">
        <v>0.86899999999999999</v>
      </c>
      <c r="F124" s="65">
        <v>0.85699999999999998</v>
      </c>
      <c r="G124" s="65">
        <v>0.83899999999999997</v>
      </c>
      <c r="H124" s="65">
        <v>0.81499999999999995</v>
      </c>
      <c r="I124" s="65">
        <v>0.78700000000000003</v>
      </c>
    </row>
    <row r="125" spans="2:9" ht="16" x14ac:dyDescent="0.2">
      <c r="B125" s="4">
        <v>11</v>
      </c>
      <c r="C125" s="65">
        <v>0.87</v>
      </c>
      <c r="D125" s="65">
        <v>0.86899999999999999</v>
      </c>
      <c r="E125" s="65">
        <v>0.86199999999999999</v>
      </c>
      <c r="F125" s="65">
        <v>0.84899999999999998</v>
      </c>
      <c r="G125" s="65">
        <v>0.82899999999999996</v>
      </c>
      <c r="H125" s="65">
        <v>0.80200000000000005</v>
      </c>
      <c r="I125" s="65">
        <v>0.77</v>
      </c>
    </row>
    <row r="126" spans="2:9" ht="16" x14ac:dyDescent="0.2">
      <c r="B126" s="4">
        <v>12</v>
      </c>
      <c r="C126" s="65">
        <v>0.86499999999999999</v>
      </c>
      <c r="D126" s="65">
        <v>0.86299999999999999</v>
      </c>
      <c r="E126" s="65">
        <v>0.85599999999999998</v>
      </c>
      <c r="F126" s="65">
        <v>0.84199999999999997</v>
      </c>
      <c r="G126" s="65">
        <v>0.82</v>
      </c>
      <c r="H126" s="65">
        <v>0.79</v>
      </c>
      <c r="I126" s="65">
        <v>0.75600000000000001</v>
      </c>
    </row>
    <row r="127" spans="2:9" ht="16" x14ac:dyDescent="0.2">
      <c r="B127" s="4">
        <v>13</v>
      </c>
      <c r="C127" s="65">
        <v>0.85899999999999999</v>
      </c>
      <c r="D127" s="65">
        <v>0.85799999999999998</v>
      </c>
      <c r="E127" s="65">
        <v>0.85099999999999998</v>
      </c>
      <c r="F127" s="65">
        <v>0.83599999999999997</v>
      </c>
      <c r="G127" s="65">
        <v>0.81200000000000006</v>
      </c>
      <c r="H127" s="65">
        <v>0.78</v>
      </c>
      <c r="I127" s="65">
        <v>0.74399999999999999</v>
      </c>
    </row>
    <row r="128" spans="2:9" ht="16" x14ac:dyDescent="0.2">
      <c r="B128" s="4">
        <v>14</v>
      </c>
      <c r="C128" s="65">
        <v>0.85499999999999998</v>
      </c>
      <c r="D128" s="65">
        <v>0.85299999999999998</v>
      </c>
      <c r="E128" s="65">
        <v>0.84499999999999997</v>
      </c>
      <c r="F128" s="65">
        <v>0.83</v>
      </c>
      <c r="G128" s="65">
        <v>0.80400000000000005</v>
      </c>
      <c r="H128" s="65">
        <v>0.77100000000000002</v>
      </c>
      <c r="I128" s="65">
        <v>0.73299999999999998</v>
      </c>
    </row>
    <row r="129" spans="2:9" ht="16" x14ac:dyDescent="0.2">
      <c r="B129" s="4">
        <v>15</v>
      </c>
      <c r="C129" s="65">
        <v>0.85</v>
      </c>
      <c r="D129" s="65">
        <v>0.84799999999999998</v>
      </c>
      <c r="E129" s="65">
        <v>0.84099999999999997</v>
      </c>
      <c r="F129" s="65">
        <v>0.82399999999999995</v>
      </c>
      <c r="G129" s="65">
        <v>0.79800000000000004</v>
      </c>
      <c r="H129" s="65">
        <v>0.76300000000000001</v>
      </c>
      <c r="I129" s="65">
        <v>0.72399999999999998</v>
      </c>
    </row>
    <row r="130" spans="2:9" ht="16" x14ac:dyDescent="0.2">
      <c r="B130" s="4">
        <v>16</v>
      </c>
      <c r="C130" s="65">
        <v>0.84599999999999997</v>
      </c>
      <c r="D130" s="65">
        <v>0.84399999999999997</v>
      </c>
      <c r="E130" s="65">
        <v>0.83599999999999997</v>
      </c>
      <c r="F130" s="65">
        <v>0.81899999999999995</v>
      </c>
      <c r="G130" s="65">
        <v>0.79200000000000004</v>
      </c>
      <c r="H130" s="65">
        <v>0.75600000000000001</v>
      </c>
      <c r="I130" s="65">
        <v>0.71499999999999997</v>
      </c>
    </row>
    <row r="131" spans="2:9" ht="16" x14ac:dyDescent="0.2">
      <c r="B131" s="4">
        <v>17</v>
      </c>
      <c r="C131" s="65">
        <v>0.84199999999999997</v>
      </c>
      <c r="D131" s="65">
        <v>0.84</v>
      </c>
      <c r="E131" s="65">
        <v>0.83199999999999996</v>
      </c>
      <c r="F131" s="65">
        <v>0.81399999999999995</v>
      </c>
      <c r="G131" s="65">
        <v>0.78600000000000003</v>
      </c>
      <c r="H131" s="65">
        <v>0.75</v>
      </c>
      <c r="I131" s="65">
        <v>0.70799999999999996</v>
      </c>
    </row>
    <row r="132" spans="2:9" ht="16" x14ac:dyDescent="0.2">
      <c r="B132" s="4">
        <v>18</v>
      </c>
      <c r="C132" s="65">
        <v>0.83899999999999997</v>
      </c>
      <c r="D132" s="65">
        <v>0.83599999999999997</v>
      </c>
      <c r="E132" s="65">
        <v>0.82799999999999996</v>
      </c>
      <c r="F132" s="65">
        <v>0.81</v>
      </c>
      <c r="G132" s="65">
        <v>0.78100000000000003</v>
      </c>
      <c r="H132" s="65">
        <v>0.74399999999999999</v>
      </c>
      <c r="I132" s="65">
        <v>0.70099999999999996</v>
      </c>
    </row>
    <row r="133" spans="2:9" ht="16" x14ac:dyDescent="0.2">
      <c r="B133" s="4">
        <v>19</v>
      </c>
      <c r="C133" s="65">
        <v>0.83499999999999996</v>
      </c>
      <c r="D133" s="65">
        <v>0.83299999999999996</v>
      </c>
      <c r="E133" s="65">
        <v>0.82399999999999995</v>
      </c>
      <c r="F133" s="65">
        <v>0.80600000000000005</v>
      </c>
      <c r="G133" s="65">
        <v>0.77700000000000002</v>
      </c>
      <c r="H133" s="65">
        <v>0.73899999999999999</v>
      </c>
      <c r="I133" s="65">
        <v>0.69499999999999995</v>
      </c>
    </row>
    <row r="134" spans="2:9" ht="16" x14ac:dyDescent="0.2">
      <c r="B134" s="4">
        <v>20</v>
      </c>
      <c r="C134" s="65">
        <v>0.83199999999999996</v>
      </c>
      <c r="D134" s="65">
        <v>0.82899999999999996</v>
      </c>
      <c r="E134" s="65">
        <v>0.82</v>
      </c>
      <c r="F134" s="65">
        <v>0.80200000000000005</v>
      </c>
      <c r="G134" s="65">
        <v>0.77200000000000002</v>
      </c>
      <c r="H134" s="65">
        <v>0.73399999999999999</v>
      </c>
      <c r="I134" s="65">
        <v>0.68899999999999995</v>
      </c>
    </row>
    <row r="135" spans="2:9" ht="16" x14ac:dyDescent="0.2">
      <c r="B135" s="4">
        <v>21</v>
      </c>
      <c r="C135" s="65">
        <v>0.82899999999999996</v>
      </c>
      <c r="D135" s="65">
        <v>0.82599999999999996</v>
      </c>
      <c r="E135" s="65">
        <v>0.81699999999999995</v>
      </c>
      <c r="F135" s="65">
        <v>0.79800000000000004</v>
      </c>
      <c r="G135" s="65">
        <v>0.76800000000000002</v>
      </c>
      <c r="H135" s="65">
        <v>0.72899999999999998</v>
      </c>
      <c r="I135" s="65">
        <v>0.68400000000000005</v>
      </c>
    </row>
    <row r="136" spans="2:9" ht="16" x14ac:dyDescent="0.2">
      <c r="B136" s="4">
        <v>22</v>
      </c>
      <c r="C136" s="65">
        <v>0.82599999999999996</v>
      </c>
      <c r="D136" s="65">
        <v>0.82299999999999995</v>
      </c>
      <c r="E136" s="65">
        <v>0.81399999999999995</v>
      </c>
      <c r="F136" s="65">
        <v>0.79500000000000004</v>
      </c>
      <c r="G136" s="65">
        <v>0.76400000000000001</v>
      </c>
      <c r="H136" s="65">
        <v>0.72499999999999998</v>
      </c>
      <c r="I136" s="65">
        <v>0.67900000000000005</v>
      </c>
    </row>
    <row r="137" spans="2:9" ht="16" x14ac:dyDescent="0.2">
      <c r="B137" s="4">
        <v>23</v>
      </c>
      <c r="C137" s="65">
        <v>0.82299999999999995</v>
      </c>
      <c r="D137" s="65">
        <v>0.82</v>
      </c>
      <c r="E137" s="65">
        <v>0.81</v>
      </c>
      <c r="F137" s="65">
        <v>0.79100000000000004</v>
      </c>
      <c r="G137" s="65">
        <v>0.76100000000000001</v>
      </c>
      <c r="H137" s="65">
        <v>0.72099999999999997</v>
      </c>
      <c r="I137" s="65">
        <v>0.67500000000000004</v>
      </c>
    </row>
    <row r="138" spans="2:9" ht="16" x14ac:dyDescent="0.2">
      <c r="B138" s="4">
        <v>24</v>
      </c>
      <c r="C138" s="65">
        <v>0.82</v>
      </c>
      <c r="D138" s="65">
        <v>0.81699999999999995</v>
      </c>
      <c r="E138" s="65">
        <v>0.80700000000000005</v>
      </c>
      <c r="F138" s="65">
        <v>0.78800000000000003</v>
      </c>
      <c r="G138" s="65">
        <v>0.75700000000000001</v>
      </c>
      <c r="H138" s="65">
        <v>0.71699999999999997</v>
      </c>
      <c r="I138" s="65">
        <v>0.67100000000000004</v>
      </c>
    </row>
    <row r="139" spans="2:9" ht="16" x14ac:dyDescent="0.2">
      <c r="B139" s="4">
        <v>25</v>
      </c>
      <c r="C139" s="65">
        <v>0.81799999999999995</v>
      </c>
      <c r="D139" s="65">
        <v>0.81399999999999995</v>
      </c>
      <c r="E139" s="65">
        <v>0.80400000000000005</v>
      </c>
      <c r="F139" s="65">
        <v>0.78500000000000003</v>
      </c>
      <c r="G139" s="65">
        <v>0.754</v>
      </c>
      <c r="H139" s="65">
        <v>0.71399999999999997</v>
      </c>
      <c r="I139" s="65">
        <v>0.66800000000000004</v>
      </c>
    </row>
    <row r="140" spans="2:9" ht="16" x14ac:dyDescent="0.2">
      <c r="B140" s="4">
        <v>26</v>
      </c>
      <c r="C140" s="65">
        <v>0.81499999999999995</v>
      </c>
      <c r="D140" s="65">
        <v>0.81200000000000006</v>
      </c>
      <c r="E140" s="65">
        <v>0.80200000000000005</v>
      </c>
      <c r="F140" s="65">
        <v>0.78200000000000003</v>
      </c>
      <c r="G140" s="65">
        <v>0.751</v>
      </c>
      <c r="H140" s="65">
        <v>0.71099999999999997</v>
      </c>
      <c r="I140" s="65">
        <v>0.66400000000000003</v>
      </c>
    </row>
    <row r="141" spans="2:9" ht="16" x14ac:dyDescent="0.2">
      <c r="B141" s="4">
        <v>27</v>
      </c>
      <c r="C141" s="65">
        <v>0.81299999999999994</v>
      </c>
      <c r="D141" s="65">
        <v>0.80900000000000005</v>
      </c>
      <c r="E141" s="65">
        <v>0.79900000000000004</v>
      </c>
      <c r="F141" s="65">
        <v>0.77900000000000003</v>
      </c>
      <c r="G141" s="65">
        <v>0.748</v>
      </c>
      <c r="H141" s="65">
        <v>0.70799999999999996</v>
      </c>
      <c r="I141" s="65">
        <v>0.66100000000000003</v>
      </c>
    </row>
    <row r="142" spans="2:9" ht="16" x14ac:dyDescent="0.2">
      <c r="B142" s="4">
        <v>28</v>
      </c>
      <c r="C142" s="65">
        <v>0.81</v>
      </c>
      <c r="D142" s="65">
        <v>0.80600000000000005</v>
      </c>
      <c r="E142" s="65">
        <v>0.79600000000000004</v>
      </c>
      <c r="F142" s="65">
        <v>0.77700000000000002</v>
      </c>
      <c r="G142" s="65">
        <v>0.746</v>
      </c>
      <c r="H142" s="65">
        <v>0.70499999999999996</v>
      </c>
      <c r="I142" s="65">
        <v>0.65800000000000003</v>
      </c>
    </row>
    <row r="143" spans="2:9" ht="16" x14ac:dyDescent="0.2">
      <c r="B143" s="4">
        <v>29</v>
      </c>
      <c r="C143" s="65">
        <v>0.80800000000000005</v>
      </c>
      <c r="D143" s="65">
        <v>0.80400000000000005</v>
      </c>
      <c r="E143" s="65">
        <v>0.79400000000000004</v>
      </c>
      <c r="F143" s="65">
        <v>0.77400000000000002</v>
      </c>
      <c r="G143" s="65">
        <v>0.74299999999999999</v>
      </c>
      <c r="H143" s="65">
        <v>0.70299999999999996</v>
      </c>
      <c r="I143" s="65">
        <v>0.65600000000000003</v>
      </c>
    </row>
    <row r="144" spans="2:9" ht="16" x14ac:dyDescent="0.2">
      <c r="B144" s="4">
        <v>30</v>
      </c>
      <c r="C144" s="65">
        <v>0.80600000000000005</v>
      </c>
      <c r="D144" s="65">
        <v>0.80200000000000005</v>
      </c>
      <c r="E144" s="65">
        <v>0.79100000000000004</v>
      </c>
      <c r="F144" s="65">
        <v>0.77200000000000002</v>
      </c>
      <c r="G144" s="65">
        <v>0.74099999999999999</v>
      </c>
      <c r="H144" s="65">
        <v>0.7</v>
      </c>
      <c r="I144" s="65">
        <v>0.65300000000000002</v>
      </c>
    </row>
    <row r="145" spans="2:9" ht="16" x14ac:dyDescent="0.2">
      <c r="B145" s="4">
        <v>31</v>
      </c>
      <c r="C145" s="65">
        <v>0.80400000000000005</v>
      </c>
      <c r="D145" s="65">
        <v>0.79900000000000004</v>
      </c>
      <c r="E145" s="65">
        <v>0.78900000000000003</v>
      </c>
      <c r="F145" s="65">
        <v>0.76900000000000002</v>
      </c>
      <c r="G145" s="65">
        <v>0.73799999999999999</v>
      </c>
      <c r="H145" s="65">
        <v>0.69799999999999995</v>
      </c>
      <c r="I145" s="65">
        <v>0.65100000000000002</v>
      </c>
    </row>
    <row r="146" spans="2:9" ht="16" x14ac:dyDescent="0.2">
      <c r="B146" s="4">
        <v>32</v>
      </c>
      <c r="C146" s="65">
        <v>0.80100000000000005</v>
      </c>
      <c r="D146" s="65">
        <v>0.79700000000000004</v>
      </c>
      <c r="E146" s="65">
        <v>0.78700000000000003</v>
      </c>
      <c r="F146" s="65">
        <v>0.76700000000000002</v>
      </c>
      <c r="G146" s="65">
        <v>0.73599999999999999</v>
      </c>
      <c r="H146" s="65">
        <v>0.69599999999999995</v>
      </c>
      <c r="I146" s="65">
        <v>0.64900000000000002</v>
      </c>
    </row>
    <row r="147" spans="2:9" ht="16" x14ac:dyDescent="0.2">
      <c r="B147" s="4">
        <v>33</v>
      </c>
      <c r="C147" s="65">
        <v>0.79900000000000004</v>
      </c>
      <c r="D147" s="65">
        <v>0.79500000000000004</v>
      </c>
      <c r="E147" s="65">
        <v>0.78500000000000003</v>
      </c>
      <c r="F147" s="65">
        <v>0.76500000000000001</v>
      </c>
      <c r="G147" s="65">
        <v>0.73399999999999999</v>
      </c>
      <c r="H147" s="65">
        <v>0.69399999999999995</v>
      </c>
      <c r="I147" s="65">
        <v>0.64700000000000002</v>
      </c>
    </row>
    <row r="148" spans="2:9" ht="16" x14ac:dyDescent="0.2">
      <c r="B148" s="4">
        <v>34</v>
      </c>
      <c r="C148" s="65">
        <v>0.79700000000000004</v>
      </c>
      <c r="D148" s="65">
        <v>0.79300000000000004</v>
      </c>
      <c r="E148" s="65">
        <v>0.78200000000000003</v>
      </c>
      <c r="F148" s="65">
        <v>0.76300000000000001</v>
      </c>
      <c r="G148" s="65">
        <v>0.73199999999999998</v>
      </c>
      <c r="H148" s="65">
        <v>0.69199999999999995</v>
      </c>
      <c r="I148" s="65">
        <v>0.64500000000000002</v>
      </c>
    </row>
    <row r="149" spans="2:9" ht="16" x14ac:dyDescent="0.2">
      <c r="B149" s="4">
        <v>35</v>
      </c>
      <c r="C149" s="65">
        <v>0.79500000000000004</v>
      </c>
      <c r="D149" s="65">
        <v>0.79100000000000004</v>
      </c>
      <c r="E149" s="65">
        <v>0.78</v>
      </c>
      <c r="F149" s="65">
        <v>0.76100000000000001</v>
      </c>
      <c r="G149" s="65">
        <v>0.73</v>
      </c>
      <c r="H149" s="65">
        <v>0.69</v>
      </c>
      <c r="I149" s="65">
        <v>0.64400000000000002</v>
      </c>
    </row>
    <row r="150" spans="2:9" ht="16" x14ac:dyDescent="0.2">
      <c r="B150" s="4">
        <v>36</v>
      </c>
      <c r="C150" s="65">
        <v>0.79300000000000004</v>
      </c>
      <c r="D150" s="65">
        <v>0.78900000000000003</v>
      </c>
      <c r="E150" s="65">
        <v>0.77800000000000002</v>
      </c>
      <c r="F150" s="65">
        <v>0.75900000000000001</v>
      </c>
      <c r="G150" s="65">
        <v>0.72799999999999998</v>
      </c>
      <c r="H150" s="65">
        <v>0.68799999999999994</v>
      </c>
      <c r="I150" s="65">
        <v>0.64200000000000002</v>
      </c>
    </row>
    <row r="151" spans="2:9" ht="16" x14ac:dyDescent="0.2">
      <c r="B151" s="4">
        <v>37</v>
      </c>
      <c r="C151" s="65">
        <v>0.79200000000000004</v>
      </c>
      <c r="D151" s="65">
        <v>0.78700000000000003</v>
      </c>
      <c r="E151" s="65">
        <v>0.77600000000000002</v>
      </c>
      <c r="F151" s="65">
        <v>0.75700000000000001</v>
      </c>
      <c r="G151" s="65">
        <v>0.72599999999999998</v>
      </c>
      <c r="H151" s="65">
        <v>0.68700000000000006</v>
      </c>
      <c r="I151" s="65">
        <v>0.64</v>
      </c>
    </row>
    <row r="152" spans="2:9" ht="16" x14ac:dyDescent="0.2">
      <c r="B152" s="4">
        <v>38</v>
      </c>
      <c r="C152" s="65">
        <v>0.79</v>
      </c>
      <c r="D152" s="65">
        <v>0.78500000000000003</v>
      </c>
      <c r="E152" s="65">
        <v>0.77400000000000002</v>
      </c>
      <c r="F152" s="65">
        <v>0.755</v>
      </c>
      <c r="G152" s="65">
        <v>0.72499999999999998</v>
      </c>
      <c r="H152" s="65">
        <v>0.68500000000000005</v>
      </c>
      <c r="I152" s="65">
        <v>0.63900000000000001</v>
      </c>
    </row>
    <row r="153" spans="2:9" ht="16" x14ac:dyDescent="0.2">
      <c r="B153" s="4">
        <v>39</v>
      </c>
      <c r="C153" s="65">
        <v>0.78800000000000003</v>
      </c>
      <c r="D153" s="65">
        <v>0.78300000000000003</v>
      </c>
      <c r="E153" s="65">
        <v>0.77300000000000002</v>
      </c>
      <c r="F153" s="65">
        <v>0.753</v>
      </c>
      <c r="G153" s="65">
        <v>0.72299999999999998</v>
      </c>
      <c r="H153" s="65">
        <v>0.68400000000000005</v>
      </c>
      <c r="I153" s="65">
        <v>0.63800000000000001</v>
      </c>
    </row>
    <row r="154" spans="2:9" ht="16" x14ac:dyDescent="0.2">
      <c r="B154" s="4">
        <v>40</v>
      </c>
      <c r="C154" s="65">
        <v>0.78600000000000003</v>
      </c>
      <c r="D154" s="65">
        <v>0.78100000000000003</v>
      </c>
      <c r="E154" s="65">
        <v>0.77100000000000002</v>
      </c>
      <c r="F154" s="65">
        <v>0.751</v>
      </c>
      <c r="G154" s="65">
        <v>0.72099999999999997</v>
      </c>
      <c r="H154" s="65">
        <v>0.68200000000000005</v>
      </c>
      <c r="I154" s="65">
        <v>0.63700000000000001</v>
      </c>
    </row>
  </sheetData>
  <sheetProtection password="8666" sheet="1" formatColumns="0" formatRows="0"/>
  <pageMargins left="0.75" right="0.75" top="1" bottom="1" header="0.511811023622047" footer="0.511811023622047"/>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Q7"/>
  <sheetViews>
    <sheetView zoomScaleNormal="100" workbookViewId="0"/>
  </sheetViews>
  <sheetFormatPr baseColWidth="10" defaultColWidth="8.5" defaultRowHeight="15" x14ac:dyDescent="0.2"/>
  <cols>
    <col min="2" max="17" width="44" customWidth="1"/>
  </cols>
  <sheetData>
    <row r="1" spans="2:17" ht="16" x14ac:dyDescent="0.2">
      <c r="B1" s="12" t="s">
        <v>178</v>
      </c>
      <c r="C1" s="12" t="s">
        <v>876</v>
      </c>
      <c r="D1" s="12" t="s">
        <v>180</v>
      </c>
      <c r="E1" s="12" t="s">
        <v>877</v>
      </c>
      <c r="F1" s="12" t="s">
        <v>386</v>
      </c>
      <c r="G1" s="12" t="s">
        <v>878</v>
      </c>
      <c r="H1" s="12" t="s">
        <v>879</v>
      </c>
      <c r="I1" s="12" t="s">
        <v>311</v>
      </c>
      <c r="J1" s="12" t="s">
        <v>880</v>
      </c>
      <c r="K1" s="12" t="s">
        <v>365</v>
      </c>
      <c r="L1" s="12" t="s">
        <v>881</v>
      </c>
      <c r="M1" s="12" t="s">
        <v>882</v>
      </c>
      <c r="N1" s="12" t="s">
        <v>883</v>
      </c>
      <c r="O1" s="12" t="s">
        <v>884</v>
      </c>
      <c r="P1" s="12" t="s">
        <v>885</v>
      </c>
      <c r="Q1" s="12" t="s">
        <v>886</v>
      </c>
    </row>
    <row r="2" spans="2:17" ht="16" x14ac:dyDescent="0.2">
      <c r="B2" s="4" t="s">
        <v>244</v>
      </c>
      <c r="C2" s="4" t="s">
        <v>246</v>
      </c>
      <c r="D2" s="4" t="s">
        <v>593</v>
      </c>
      <c r="E2" s="4" t="s">
        <v>373</v>
      </c>
      <c r="F2" s="4" t="s">
        <v>387</v>
      </c>
      <c r="G2" s="4" t="s">
        <v>322</v>
      </c>
      <c r="H2" s="4" t="s">
        <v>407</v>
      </c>
      <c r="I2" s="4" t="s">
        <v>581</v>
      </c>
      <c r="J2" s="4" t="s">
        <v>325</v>
      </c>
      <c r="K2" s="4" t="s">
        <v>572</v>
      </c>
      <c r="L2" s="4" t="s">
        <v>335</v>
      </c>
      <c r="M2" s="4" t="s">
        <v>622</v>
      </c>
      <c r="N2" s="4" t="s">
        <v>428</v>
      </c>
      <c r="O2" s="4" t="s">
        <v>342</v>
      </c>
      <c r="P2" s="4" t="s">
        <v>304</v>
      </c>
      <c r="Q2" s="4" t="s">
        <v>887</v>
      </c>
    </row>
    <row r="3" spans="2:17" ht="16" x14ac:dyDescent="0.2">
      <c r="B3" s="4" t="s">
        <v>577</v>
      </c>
      <c r="C3" s="4" t="s">
        <v>599</v>
      </c>
      <c r="D3" s="4" t="s">
        <v>578</v>
      </c>
      <c r="E3" s="4" t="s">
        <v>573</v>
      </c>
      <c r="F3" s="4" t="s">
        <v>888</v>
      </c>
      <c r="G3" s="4" t="s">
        <v>850</v>
      </c>
      <c r="H3" s="4" t="s">
        <v>574</v>
      </c>
      <c r="I3" s="4" t="s">
        <v>312</v>
      </c>
      <c r="J3" s="4" t="s">
        <v>270</v>
      </c>
      <c r="K3" s="4" t="s">
        <v>366</v>
      </c>
      <c r="L3" s="4" t="s">
        <v>596</v>
      </c>
      <c r="M3" s="4" t="s">
        <v>623</v>
      </c>
      <c r="N3" s="4" t="s">
        <v>889</v>
      </c>
      <c r="O3" s="4" t="s">
        <v>890</v>
      </c>
      <c r="P3" s="4" t="s">
        <v>891</v>
      </c>
      <c r="Q3" s="4" t="s">
        <v>609</v>
      </c>
    </row>
    <row r="4" spans="2:17" ht="16" x14ac:dyDescent="0.2">
      <c r="B4" s="4" t="s">
        <v>588</v>
      </c>
      <c r="C4" s="4" t="s">
        <v>605</v>
      </c>
      <c r="D4" s="4" t="s">
        <v>248</v>
      </c>
      <c r="F4" s="4" t="s">
        <v>601</v>
      </c>
      <c r="G4" s="4" t="s">
        <v>851</v>
      </c>
      <c r="H4" s="4" t="s">
        <v>583</v>
      </c>
      <c r="L4" s="4" t="s">
        <v>892</v>
      </c>
      <c r="M4" s="4" t="s">
        <v>893</v>
      </c>
      <c r="O4" s="4" t="s">
        <v>894</v>
      </c>
      <c r="Q4" s="4" t="s">
        <v>359</v>
      </c>
    </row>
    <row r="5" spans="2:17" ht="16" x14ac:dyDescent="0.2">
      <c r="D5" s="4" t="s">
        <v>895</v>
      </c>
      <c r="H5" s="4" t="s">
        <v>590</v>
      </c>
      <c r="O5" s="4" t="s">
        <v>896</v>
      </c>
    </row>
    <row r="6" spans="2:17" ht="16" x14ac:dyDescent="0.2">
      <c r="D6" s="4" t="s">
        <v>897</v>
      </c>
    </row>
    <row r="7" spans="2:17" ht="16" x14ac:dyDescent="0.2">
      <c r="D7" s="4" t="s">
        <v>606</v>
      </c>
    </row>
  </sheetData>
  <sheetProtection password="8666" sheet="1" formatColumns="0" formatRows="0"/>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915A58E75E724683C9EF54A4DEE385" ma:contentTypeVersion="15" ma:contentTypeDescription="Create a new document." ma:contentTypeScope="" ma:versionID="ad55eeab5960cfeaad34050dba95bdb0">
  <xsd:schema xmlns:xsd="http://www.w3.org/2001/XMLSchema" xmlns:xs="http://www.w3.org/2001/XMLSchema" xmlns:p="http://schemas.microsoft.com/office/2006/metadata/properties" xmlns:ns2="7dc63ac8-f873-4864-a556-1526ed5fb1dd" xmlns:ns3="b83aece0-62c2-469f-addf-c34b3ad5a904" targetNamespace="http://schemas.microsoft.com/office/2006/metadata/properties" ma:root="true" ma:fieldsID="cfdc523ad7e76973d295ff876cf96883" ns2:_="" ns3:_="">
    <xsd:import namespace="7dc63ac8-f873-4864-a556-1526ed5fb1dd"/>
    <xsd:import namespace="b83aece0-62c2-469f-addf-c34b3ad5a90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c63ac8-f873-4864-a556-1526ed5fb1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f161edd-7b79-4478-98eb-f673e2ec4f9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3aece0-62c2-469f-addf-c34b3ad5a90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a0eb0c7-d26c-4099-bb9e-4c18748980ce}" ma:internalName="TaxCatchAll" ma:showField="CatchAllData" ma:web="b83aece0-62c2-469f-addf-c34b3ad5a9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dc63ac8-f873-4864-a556-1526ed5fb1dd">
      <Terms xmlns="http://schemas.microsoft.com/office/infopath/2007/PartnerControls"/>
    </lcf76f155ced4ddcb4097134ff3c332f>
    <TaxCatchAll xmlns="b83aece0-62c2-469f-addf-c34b3ad5a904" xsi:nil="true"/>
  </documentManagement>
</p:properties>
</file>

<file path=customXml/itemProps1.xml><?xml version="1.0" encoding="utf-8"?>
<ds:datastoreItem xmlns:ds="http://schemas.openxmlformats.org/officeDocument/2006/customXml" ds:itemID="{F40650E1-5826-4E52-94A3-1087DC9959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c63ac8-f873-4864-a556-1526ed5fb1dd"/>
    <ds:schemaRef ds:uri="b83aece0-62c2-469f-addf-c34b3ad5a9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804370-D0BD-45B4-9A76-F2B24D22E8CD}">
  <ds:schemaRefs>
    <ds:schemaRef ds:uri="http://schemas.microsoft.com/sharepoint/v3/contenttype/forms"/>
  </ds:schemaRefs>
</ds:datastoreItem>
</file>

<file path=customXml/itemProps3.xml><?xml version="1.0" encoding="utf-8"?>
<ds:datastoreItem xmlns:ds="http://schemas.openxmlformats.org/officeDocument/2006/customXml" ds:itemID="{9445D086-10AD-4FBE-9946-8C66811C53A8}">
  <ds:schemaRefs>
    <ds:schemaRef ds:uri="http://schemas.microsoft.com/office/2006/metadata/properties"/>
    <ds:schemaRef ds:uri="http://schemas.openxmlformats.org/package/2006/metadata/core-properties"/>
    <ds:schemaRef ds:uri="http://www.w3.org/XML/1998/namespace"/>
    <ds:schemaRef ds:uri="http://purl.org/dc/elements/1.1/"/>
    <ds:schemaRef ds:uri="http://purl.org/dc/dcmitype/"/>
    <ds:schemaRef ds:uri="http://schemas.microsoft.com/office/2006/documentManagement/types"/>
    <ds:schemaRef ds:uri="http://schemas.microsoft.com/office/infopath/2007/PartnerControls"/>
    <ds:schemaRef ds:uri="b83aece0-62c2-469f-addf-c34b3ad5a904"/>
    <ds:schemaRef ds:uri="7dc63ac8-f873-4864-a556-1526ed5fb1dd"/>
    <ds:schemaRef ds:uri="http://purl.org/dc/te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Worksheets</vt:lpstr>
      </vt:variant>
      <vt:variant>
        <vt:i4>17</vt:i4>
      </vt:variant>
    </vt:vector>
  </HeadingPairs>
  <TitlesOfParts>
    <vt:vector size="17" baseType="lpstr">
      <vt:lpstr>Introduction</vt:lpstr>
      <vt:lpstr>Read me</vt:lpstr>
      <vt:lpstr>Guide</vt:lpstr>
      <vt:lpstr>Summary</vt:lpstr>
      <vt:lpstr>S1 T1 Distributed default</vt:lpstr>
      <vt:lpstr>S1M T1 Distributed measured</vt:lpstr>
      <vt:lpstr>S2 T2 Mechanised soil</vt:lpstr>
      <vt:lpstr>S2M T2 Calculated route</vt:lpstr>
      <vt:lpstr>S3 T3 Industrial soil</vt:lpstr>
      <vt:lpstr>S4 T1 Field residue F1</vt:lpstr>
      <vt:lpstr>S5 T2 Concrete A2</vt:lpstr>
      <vt:lpstr>S6 T3 Biosolids vault A3</vt:lpstr>
      <vt:lpstr>Annex 7</vt:lpstr>
      <vt:lpstr>Helpers</vt:lpstr>
      <vt:lpstr>Checks</vt:lpstr>
      <vt:lpstr>Defaults</vt:lpstr>
      <vt:lpstr>Lists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Ema Cima</cp:lastModifiedBy>
  <cp:revision>0</cp:revision>
  <dcterms:created xsi:type="dcterms:W3CDTF">2026-10-29T10:08:15Z</dcterms:created>
  <dcterms:modified xsi:type="dcterms:W3CDTF">2026-11-02T20:55:34Z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0x01010042915A58E75E724683C9EF54A4DEE385</vt:lpwstr>
  </property>
  <property fmtid="{D5CDD505-2E9C-101B-9397-08002B2CF9AE}" pid="3" name="MediaServiceImageTags">
    <vt:lpwstr/>
  </property>
</Properties>
</file>