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thegoldstandard.sharepoint.com/sites/FUNC_SDM/Shared Documents/Standard/WIP - Sep-Nov'26/SASS/"/>
    </mc:Choice>
  </mc:AlternateContent>
  <xr:revisionPtr revIDLastSave="0" documentId="8_{ECF5328D-59C9-47E4-9FB6-2C69FC1CB09A}" xr6:coauthVersionLast="47" xr6:coauthVersionMax="47" xr10:uidLastSave="{00000000-0000-0000-0000-000000000000}"/>
  <workbookProtection workbookPassword="86E8" lockStructure="1"/>
  <bookViews>
    <workbookView xWindow="28680" yWindow="-120" windowWidth="29040" windowHeight="15720" xr2:uid="{00000000-000D-0000-FFFF-FFFF00000000}"/>
  </bookViews>
  <sheets>
    <sheet name="Introduction" sheetId="1" r:id="rId1"/>
    <sheet name="Guide" sheetId="2" r:id="rId2"/>
    <sheet name="Summary" sheetId="3" r:id="rId3"/>
    <sheet name="Credit map" sheetId="4" r:id="rId4"/>
    <sheet name="S1 CBS-OD" sheetId="5" r:id="rId5"/>
    <sheet name="S2 Pit service" sheetId="6" r:id="rId6"/>
    <sheet name="S2M Pit measured" sheetId="7" r:id="rId7"/>
    <sheet name="S3 Septic-AD" sheetId="8" r:id="rId8"/>
    <sheet name="S4 Mixed urban" sheetId="9" r:id="rId9"/>
    <sheet name="S4M Mixed measured" sheetId="10" r:id="rId10"/>
    <sheet name="S5 Refugee camp" sheetId="11" r:id="rId11"/>
    <sheet name="Helpers" sheetId="12" r:id="rId12"/>
    <sheet name="Checks" sheetId="13" r:id="rId13"/>
    <sheet name="Defaults" sheetId="14" r:id="rId14"/>
    <sheet name="Lists" sheetId="15" r:id="rId15"/>
  </sheets>
  <definedNames>
    <definedName name="L_BOD">Lists!$I$4:$I$5</definedName>
    <definedName name="L_Country">Lists!$B$4:$B$36</definedName>
    <definedName name="L_Elec">Lists!$J$4:$J$5</definedName>
    <definedName name="L_Emptied">Lists!$D$4:$D$6</definedName>
    <definedName name="L_Fuel">Lists!$K$4:$K$6</definedName>
    <definedName name="L_Material">Lists!$N$4:$N$18</definedName>
    <definedName name="L_Ops">Lists!$P$4:$P$9</definedName>
    <definedName name="L_Pathway">Lists!$C$4:$C$15</definedName>
    <definedName name="L_Route">Lists!$E$4:$E$8</definedName>
    <definedName name="L_SDUAF">Lists!$G$4:$G$5</definedName>
    <definedName name="L_Tier">Lists!$M$4:$M$6</definedName>
    <definedName name="L_Transport">Lists!$L$4:$L$5</definedName>
    <definedName name="L_UAF">Lists!$F$4:$F$6</definedName>
    <definedName name="L_Unit">Lists!$H$4:$H$14</definedName>
    <definedName name="L_YesNo">Lists!$O$4:$O$5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8" i="14" l="1"/>
  <c r="F107" i="14"/>
  <c r="F106" i="14"/>
  <c r="F100" i="14"/>
  <c r="F99" i="14"/>
  <c r="F98" i="14"/>
  <c r="F97" i="14"/>
  <c r="F94" i="14"/>
  <c r="F93" i="14"/>
  <c r="F92" i="14"/>
  <c r="C78" i="14"/>
  <c r="C77" i="14"/>
  <c r="F76" i="14"/>
  <c r="F74" i="14"/>
  <c r="F73" i="14"/>
  <c r="F72" i="14"/>
  <c r="F71" i="14"/>
  <c r="F70" i="14"/>
  <c r="D28" i="14"/>
  <c r="D21" i="14"/>
  <c r="G76" i="14" s="1"/>
  <c r="D14" i="13" s="1"/>
  <c r="F14" i="13" s="1"/>
  <c r="D10" i="14"/>
  <c r="F23" i="13"/>
  <c r="D23" i="13"/>
  <c r="F22" i="13"/>
  <c r="D22" i="13"/>
  <c r="D21" i="13"/>
  <c r="F21" i="13" s="1"/>
  <c r="D20" i="13"/>
  <c r="F20" i="13" s="1"/>
  <c r="D19" i="13"/>
  <c r="F19" i="13" s="1"/>
  <c r="D18" i="13"/>
  <c r="F18" i="13" s="1"/>
  <c r="F17" i="13"/>
  <c r="D17" i="13"/>
  <c r="D16" i="13"/>
  <c r="F16" i="13" s="1"/>
  <c r="D15" i="13"/>
  <c r="F15" i="13" s="1"/>
  <c r="D8" i="13"/>
  <c r="F8" i="13" s="1"/>
  <c r="D7" i="13"/>
  <c r="F7" i="13" s="1"/>
  <c r="C70" i="12"/>
  <c r="C69" i="12"/>
  <c r="C68" i="12"/>
  <c r="C59" i="12"/>
  <c r="C60" i="12" s="1"/>
  <c r="C58" i="12"/>
  <c r="C46" i="12"/>
  <c r="C47" i="12" s="1"/>
  <c r="C38" i="12"/>
  <c r="C22" i="12"/>
  <c r="D11" i="12"/>
  <c r="D12" i="12" s="1"/>
  <c r="D13" i="12" s="1"/>
  <c r="D14" i="12" s="1"/>
  <c r="D10" i="12"/>
  <c r="C10" i="12"/>
  <c r="C11" i="12" s="1"/>
  <c r="C12" i="12" s="1"/>
  <c r="C13" i="12" s="1"/>
  <c r="C14" i="12" s="1"/>
  <c r="G242" i="11"/>
  <c r="G234" i="11"/>
  <c r="C232" i="11"/>
  <c r="B232" i="11"/>
  <c r="C231" i="11"/>
  <c r="B231" i="11"/>
  <c r="C230" i="11"/>
  <c r="B230" i="11"/>
  <c r="C229" i="11"/>
  <c r="B229" i="11"/>
  <c r="C228" i="11"/>
  <c r="B228" i="11"/>
  <c r="C227" i="11"/>
  <c r="B227" i="11"/>
  <c r="X226" i="11"/>
  <c r="C226" i="11"/>
  <c r="B226" i="11"/>
  <c r="X225" i="11"/>
  <c r="C225" i="11"/>
  <c r="B225" i="11"/>
  <c r="H224" i="11"/>
  <c r="G224" i="11"/>
  <c r="G205" i="11"/>
  <c r="G194" i="11"/>
  <c r="Q189" i="11"/>
  <c r="P189" i="11"/>
  <c r="L188" i="11"/>
  <c r="J188" i="11"/>
  <c r="H188" i="11"/>
  <c r="G188" i="11"/>
  <c r="O186" i="11"/>
  <c r="H186" i="11"/>
  <c r="G186" i="11"/>
  <c r="G179" i="11"/>
  <c r="B179" i="11"/>
  <c r="Q177" i="11"/>
  <c r="P177" i="11"/>
  <c r="O177" i="11"/>
  <c r="N177" i="11"/>
  <c r="L177" i="11"/>
  <c r="H177" i="11"/>
  <c r="N175" i="11"/>
  <c r="L175" i="11"/>
  <c r="H175" i="11"/>
  <c r="I174" i="11"/>
  <c r="H174" i="11"/>
  <c r="G174" i="11"/>
  <c r="M172" i="11"/>
  <c r="K172" i="11"/>
  <c r="H165" i="11"/>
  <c r="G165" i="11"/>
  <c r="B165" i="11"/>
  <c r="I161" i="11"/>
  <c r="H161" i="11"/>
  <c r="G161" i="11"/>
  <c r="Q159" i="11"/>
  <c r="P159" i="11"/>
  <c r="O159" i="11"/>
  <c r="K159" i="11"/>
  <c r="G159" i="11"/>
  <c r="G151" i="11"/>
  <c r="B151" i="11"/>
  <c r="N149" i="11"/>
  <c r="U147" i="11"/>
  <c r="T147" i="11"/>
  <c r="R147" i="11"/>
  <c r="Q147" i="11"/>
  <c r="P147" i="11"/>
  <c r="N147" i="11"/>
  <c r="I147" i="11"/>
  <c r="H147" i="11"/>
  <c r="L145" i="11"/>
  <c r="K145" i="11"/>
  <c r="J145" i="11"/>
  <c r="I145" i="11"/>
  <c r="H145" i="11"/>
  <c r="G137" i="11"/>
  <c r="B137" i="11"/>
  <c r="T133" i="11"/>
  <c r="R133" i="11"/>
  <c r="P133" i="11"/>
  <c r="J133" i="11"/>
  <c r="I133" i="11"/>
  <c r="G133" i="11"/>
  <c r="U131" i="11"/>
  <c r="T131" i="11"/>
  <c r="S131" i="11"/>
  <c r="R131" i="11"/>
  <c r="Q131" i="11"/>
  <c r="P131" i="11"/>
  <c r="O131" i="11"/>
  <c r="G123" i="11"/>
  <c r="B123" i="11"/>
  <c r="G118" i="11"/>
  <c r="G117" i="11"/>
  <c r="G116" i="11"/>
  <c r="G115" i="11"/>
  <c r="G119" i="11" s="1"/>
  <c r="H114" i="11"/>
  <c r="N111" i="11"/>
  <c r="M111" i="11"/>
  <c r="L111" i="11"/>
  <c r="K111" i="11"/>
  <c r="J111" i="11"/>
  <c r="I111" i="11"/>
  <c r="H111" i="11"/>
  <c r="G111" i="11"/>
  <c r="N110" i="11"/>
  <c r="M110" i="11"/>
  <c r="L110" i="11"/>
  <c r="K110" i="11"/>
  <c r="J110" i="11"/>
  <c r="I110" i="11"/>
  <c r="H110" i="11"/>
  <c r="G110" i="11"/>
  <c r="N107" i="11"/>
  <c r="M107" i="11"/>
  <c r="L107" i="11"/>
  <c r="H107" i="11"/>
  <c r="N104" i="11"/>
  <c r="M104" i="11"/>
  <c r="L104" i="11"/>
  <c r="K104" i="11"/>
  <c r="K107" i="11" s="1"/>
  <c r="J104" i="11"/>
  <c r="J107" i="11" s="1"/>
  <c r="I104" i="11"/>
  <c r="I107" i="11" s="1"/>
  <c r="H104" i="11"/>
  <c r="G104" i="11"/>
  <c r="G107" i="11" s="1"/>
  <c r="J96" i="11"/>
  <c r="K93" i="11"/>
  <c r="J93" i="11"/>
  <c r="I93" i="11"/>
  <c r="H93" i="11"/>
  <c r="G93" i="11"/>
  <c r="K92" i="11"/>
  <c r="J92" i="11"/>
  <c r="I92" i="11"/>
  <c r="H92" i="11"/>
  <c r="G92" i="11"/>
  <c r="K91" i="11"/>
  <c r="J91" i="11"/>
  <c r="I91" i="11"/>
  <c r="H91" i="11"/>
  <c r="G91" i="11"/>
  <c r="K90" i="11"/>
  <c r="J90" i="11"/>
  <c r="I90" i="11"/>
  <c r="H90" i="11"/>
  <c r="G90" i="11"/>
  <c r="K89" i="11"/>
  <c r="J89" i="11"/>
  <c r="T173" i="11" s="1"/>
  <c r="I89" i="11"/>
  <c r="T161" i="11" s="1"/>
  <c r="H89" i="11"/>
  <c r="O145" i="11" s="1"/>
  <c r="G89" i="11"/>
  <c r="K133" i="11" s="1"/>
  <c r="K88" i="11"/>
  <c r="J88" i="11"/>
  <c r="I88" i="11"/>
  <c r="H88" i="11"/>
  <c r="G88" i="11"/>
  <c r="K83" i="11"/>
  <c r="I83" i="11"/>
  <c r="H83" i="11"/>
  <c r="G83" i="11"/>
  <c r="D95" i="13" s="1"/>
  <c r="F95" i="13" s="1"/>
  <c r="K80" i="11"/>
  <c r="I80" i="11"/>
  <c r="H80" i="11"/>
  <c r="G80" i="11"/>
  <c r="D94" i="13" s="1"/>
  <c r="F94" i="13" s="1"/>
  <c r="G64" i="11"/>
  <c r="F64" i="11"/>
  <c r="C63" i="11"/>
  <c r="F62" i="11"/>
  <c r="D62" i="11"/>
  <c r="C62" i="11"/>
  <c r="G62" i="11" s="1"/>
  <c r="G61" i="11"/>
  <c r="F61" i="11"/>
  <c r="D61" i="11"/>
  <c r="C61" i="11"/>
  <c r="D60" i="11"/>
  <c r="C60" i="11"/>
  <c r="F56" i="11"/>
  <c r="F55" i="11"/>
  <c r="F54" i="11"/>
  <c r="F52" i="11"/>
  <c r="F49" i="11"/>
  <c r="F47" i="11"/>
  <c r="G39" i="11"/>
  <c r="F39" i="11"/>
  <c r="F37" i="11"/>
  <c r="F34" i="11"/>
  <c r="F36" i="11" s="1"/>
  <c r="F33" i="11"/>
  <c r="F32" i="11"/>
  <c r="F31" i="11"/>
  <c r="F30" i="11"/>
  <c r="F29" i="11"/>
  <c r="F27" i="11"/>
  <c r="F23" i="11"/>
  <c r="F25" i="11" s="1"/>
  <c r="G22" i="11"/>
  <c r="G19" i="11"/>
  <c r="F19" i="11"/>
  <c r="F22" i="11" s="1"/>
  <c r="H242" i="10"/>
  <c r="G242" i="10"/>
  <c r="X232" i="10"/>
  <c r="W232" i="10"/>
  <c r="C232" i="10"/>
  <c r="B232" i="10"/>
  <c r="X231" i="10"/>
  <c r="W231" i="10"/>
  <c r="C231" i="10"/>
  <c r="B231" i="10"/>
  <c r="X230" i="10"/>
  <c r="W230" i="10"/>
  <c r="C230" i="10"/>
  <c r="B230" i="10"/>
  <c r="X229" i="10"/>
  <c r="W229" i="10"/>
  <c r="C229" i="10"/>
  <c r="B229" i="10"/>
  <c r="X228" i="10"/>
  <c r="W228" i="10"/>
  <c r="C228" i="10"/>
  <c r="B228" i="10"/>
  <c r="X227" i="10"/>
  <c r="W227" i="10"/>
  <c r="C227" i="10"/>
  <c r="B227" i="10"/>
  <c r="X226" i="10"/>
  <c r="W226" i="10"/>
  <c r="C226" i="10"/>
  <c r="B226" i="10"/>
  <c r="X225" i="10"/>
  <c r="W225" i="10"/>
  <c r="G225" i="10"/>
  <c r="C225" i="10"/>
  <c r="B225" i="10"/>
  <c r="H224" i="10"/>
  <c r="G224" i="10"/>
  <c r="G215" i="10"/>
  <c r="H205" i="10"/>
  <c r="G205" i="10"/>
  <c r="G194" i="10"/>
  <c r="N191" i="10"/>
  <c r="M191" i="10"/>
  <c r="L191" i="10"/>
  <c r="K191" i="10"/>
  <c r="I191" i="10"/>
  <c r="U189" i="10"/>
  <c r="T189" i="10"/>
  <c r="M189" i="10"/>
  <c r="J189" i="10"/>
  <c r="I189" i="10"/>
  <c r="H189" i="10"/>
  <c r="G189" i="10"/>
  <c r="U188" i="10"/>
  <c r="S188" i="10"/>
  <c r="K188" i="10"/>
  <c r="J188" i="10"/>
  <c r="I188" i="10"/>
  <c r="G188" i="10"/>
  <c r="U187" i="10"/>
  <c r="R187" i="10"/>
  <c r="Q187" i="10"/>
  <c r="P187" i="10"/>
  <c r="I187" i="10"/>
  <c r="U186" i="10"/>
  <c r="T186" i="10"/>
  <c r="S186" i="10"/>
  <c r="R186" i="10"/>
  <c r="Q186" i="10"/>
  <c r="O186" i="10"/>
  <c r="G186" i="10"/>
  <c r="H183" i="10"/>
  <c r="G179" i="10"/>
  <c r="B179" i="10"/>
  <c r="T175" i="10"/>
  <c r="O175" i="10"/>
  <c r="H165" i="10"/>
  <c r="G165" i="10"/>
  <c r="B165" i="10"/>
  <c r="U163" i="10"/>
  <c r="R163" i="10"/>
  <c r="U160" i="10"/>
  <c r="T160" i="10"/>
  <c r="S160" i="10"/>
  <c r="R160" i="10"/>
  <c r="Q160" i="10"/>
  <c r="P160" i="10"/>
  <c r="O160" i="10"/>
  <c r="M160" i="10"/>
  <c r="K160" i="10"/>
  <c r="U158" i="10"/>
  <c r="S158" i="10"/>
  <c r="Q158" i="10"/>
  <c r="P158" i="10"/>
  <c r="O158" i="10"/>
  <c r="N158" i="10"/>
  <c r="M158" i="10"/>
  <c r="L158" i="10"/>
  <c r="H151" i="10"/>
  <c r="G151" i="10"/>
  <c r="B151" i="10"/>
  <c r="T149" i="10"/>
  <c r="R149" i="10"/>
  <c r="Q149" i="10"/>
  <c r="P149" i="10"/>
  <c r="O149" i="10"/>
  <c r="N149" i="10"/>
  <c r="U147" i="10"/>
  <c r="T147" i="10"/>
  <c r="R147" i="10"/>
  <c r="T146" i="10"/>
  <c r="R146" i="10"/>
  <c r="Q146" i="10"/>
  <c r="P146" i="10"/>
  <c r="O146" i="10"/>
  <c r="N146" i="10"/>
  <c r="Q145" i="10"/>
  <c r="P145" i="10"/>
  <c r="N145" i="10"/>
  <c r="G145" i="10"/>
  <c r="U144" i="10"/>
  <c r="T144" i="10"/>
  <c r="R144" i="10"/>
  <c r="P144" i="10"/>
  <c r="N144" i="10"/>
  <c r="M144" i="10"/>
  <c r="H144" i="10"/>
  <c r="H137" i="10"/>
  <c r="G137" i="10"/>
  <c r="B137" i="10"/>
  <c r="J135" i="10"/>
  <c r="I135" i="10"/>
  <c r="G135" i="10"/>
  <c r="T133" i="10"/>
  <c r="S133" i="10"/>
  <c r="R133" i="10"/>
  <c r="Q133" i="10"/>
  <c r="I133" i="10"/>
  <c r="H133" i="10"/>
  <c r="G133" i="10"/>
  <c r="U132" i="10"/>
  <c r="S132" i="10"/>
  <c r="Q132" i="10"/>
  <c r="O132" i="10"/>
  <c r="N132" i="10"/>
  <c r="M132" i="10"/>
  <c r="L132" i="10"/>
  <c r="K132" i="10"/>
  <c r="J132" i="10"/>
  <c r="I132" i="10"/>
  <c r="G132" i="10"/>
  <c r="U131" i="10"/>
  <c r="I131" i="10"/>
  <c r="G131" i="10"/>
  <c r="U130" i="10"/>
  <c r="T130" i="10"/>
  <c r="S130" i="10"/>
  <c r="R130" i="10"/>
  <c r="Q130" i="10"/>
  <c r="O130" i="10"/>
  <c r="M130" i="10"/>
  <c r="K130" i="10"/>
  <c r="J130" i="10"/>
  <c r="I130" i="10"/>
  <c r="H130" i="10"/>
  <c r="G130" i="10"/>
  <c r="H127" i="10"/>
  <c r="G127" i="10"/>
  <c r="G123" i="10"/>
  <c r="B123" i="10"/>
  <c r="G122" i="10"/>
  <c r="G119" i="10"/>
  <c r="G226" i="10" s="1"/>
  <c r="G118" i="10"/>
  <c r="H117" i="10"/>
  <c r="G117" i="10"/>
  <c r="H116" i="10"/>
  <c r="G116" i="10"/>
  <c r="G115" i="10"/>
  <c r="H114" i="10"/>
  <c r="N111" i="10"/>
  <c r="M111" i="10"/>
  <c r="L111" i="10"/>
  <c r="K111" i="10"/>
  <c r="J111" i="10"/>
  <c r="I111" i="10"/>
  <c r="H111" i="10"/>
  <c r="G111" i="10"/>
  <c r="N110" i="10"/>
  <c r="M110" i="10"/>
  <c r="L110" i="10"/>
  <c r="K110" i="10"/>
  <c r="J110" i="10"/>
  <c r="I110" i="10"/>
  <c r="H110" i="10"/>
  <c r="G110" i="10"/>
  <c r="N107" i="10"/>
  <c r="G232" i="10" s="1"/>
  <c r="M107" i="10"/>
  <c r="H231" i="10" s="1"/>
  <c r="K107" i="10"/>
  <c r="G229" i="10" s="1"/>
  <c r="I107" i="10"/>
  <c r="H107" i="10"/>
  <c r="N104" i="10"/>
  <c r="M104" i="10"/>
  <c r="L104" i="10"/>
  <c r="L107" i="10" s="1"/>
  <c r="K104" i="10"/>
  <c r="J104" i="10"/>
  <c r="J107" i="10" s="1"/>
  <c r="I104" i="10"/>
  <c r="H104" i="10"/>
  <c r="G104" i="10"/>
  <c r="G107" i="10" s="1"/>
  <c r="J96" i="10"/>
  <c r="H96" i="10"/>
  <c r="K93" i="10"/>
  <c r="J93" i="10"/>
  <c r="I93" i="10"/>
  <c r="H93" i="10"/>
  <c r="G93" i="10"/>
  <c r="K92" i="10"/>
  <c r="J92" i="10"/>
  <c r="I92" i="10"/>
  <c r="H92" i="10"/>
  <c r="G92" i="10"/>
  <c r="K91" i="10"/>
  <c r="J91" i="10"/>
  <c r="I91" i="10"/>
  <c r="H91" i="10"/>
  <c r="G91" i="10"/>
  <c r="K90" i="10"/>
  <c r="J90" i="10"/>
  <c r="I90" i="10"/>
  <c r="H90" i="10"/>
  <c r="G90" i="10"/>
  <c r="K89" i="10"/>
  <c r="J89" i="10"/>
  <c r="I89" i="10"/>
  <c r="N215" i="10" s="1"/>
  <c r="H89" i="10"/>
  <c r="N147" i="10" s="1"/>
  <c r="G89" i="10"/>
  <c r="R215" i="10" s="1"/>
  <c r="K88" i="10"/>
  <c r="N188" i="10" s="1"/>
  <c r="J88" i="10"/>
  <c r="I88" i="10"/>
  <c r="H88" i="10"/>
  <c r="G88" i="10"/>
  <c r="K83" i="10"/>
  <c r="I83" i="10"/>
  <c r="H83" i="10"/>
  <c r="K80" i="10"/>
  <c r="J80" i="10"/>
  <c r="I80" i="10"/>
  <c r="H80" i="10"/>
  <c r="G64" i="10"/>
  <c r="F64" i="10"/>
  <c r="C63" i="10"/>
  <c r="F63" i="10" s="1"/>
  <c r="D62" i="10"/>
  <c r="C62" i="10"/>
  <c r="G62" i="10" s="1"/>
  <c r="D61" i="10"/>
  <c r="C61" i="10"/>
  <c r="F60" i="10"/>
  <c r="D60" i="10"/>
  <c r="G60" i="10" s="1"/>
  <c r="C60" i="10"/>
  <c r="F56" i="10"/>
  <c r="F55" i="10"/>
  <c r="F54" i="10"/>
  <c r="F52" i="10"/>
  <c r="F49" i="10"/>
  <c r="F47" i="10"/>
  <c r="F37" i="10"/>
  <c r="F36" i="10"/>
  <c r="F34" i="10"/>
  <c r="F33" i="10"/>
  <c r="F32" i="10"/>
  <c r="F31" i="10"/>
  <c r="F30" i="10"/>
  <c r="F29" i="10"/>
  <c r="F27" i="10"/>
  <c r="F23" i="10"/>
  <c r="F25" i="10" s="1"/>
  <c r="G19" i="10"/>
  <c r="F19" i="10"/>
  <c r="G242" i="9"/>
  <c r="X232" i="9"/>
  <c r="W232" i="9"/>
  <c r="C232" i="9"/>
  <c r="B232" i="9"/>
  <c r="X231" i="9"/>
  <c r="W231" i="9"/>
  <c r="C231" i="9"/>
  <c r="B231" i="9"/>
  <c r="X230" i="9"/>
  <c r="W230" i="9"/>
  <c r="C230" i="9"/>
  <c r="B230" i="9"/>
  <c r="X229" i="9"/>
  <c r="W229" i="9"/>
  <c r="C229" i="9"/>
  <c r="B229" i="9"/>
  <c r="X228" i="9"/>
  <c r="W228" i="9"/>
  <c r="C228" i="9"/>
  <c r="B228" i="9"/>
  <c r="X227" i="9"/>
  <c r="W227" i="9"/>
  <c r="C227" i="9"/>
  <c r="B227" i="9"/>
  <c r="X226" i="9"/>
  <c r="W226" i="9"/>
  <c r="C226" i="9"/>
  <c r="B226" i="9"/>
  <c r="X225" i="9"/>
  <c r="W225" i="9"/>
  <c r="C225" i="9"/>
  <c r="B225" i="9"/>
  <c r="G224" i="9"/>
  <c r="H215" i="9"/>
  <c r="G215" i="9"/>
  <c r="G205" i="9"/>
  <c r="H194" i="9"/>
  <c r="G194" i="9"/>
  <c r="U191" i="9"/>
  <c r="T191" i="9"/>
  <c r="U188" i="9"/>
  <c r="S188" i="9"/>
  <c r="I188" i="9"/>
  <c r="H188" i="9"/>
  <c r="G188" i="9"/>
  <c r="H187" i="9"/>
  <c r="G187" i="9"/>
  <c r="R186" i="9"/>
  <c r="Q186" i="9"/>
  <c r="P186" i="9"/>
  <c r="O186" i="9"/>
  <c r="N186" i="9"/>
  <c r="L186" i="9"/>
  <c r="G179" i="9"/>
  <c r="B179" i="9"/>
  <c r="L177" i="9"/>
  <c r="G177" i="9"/>
  <c r="O175" i="9"/>
  <c r="M175" i="9"/>
  <c r="H175" i="9"/>
  <c r="T173" i="9"/>
  <c r="K173" i="9"/>
  <c r="I173" i="9"/>
  <c r="G170" i="9"/>
  <c r="G169" i="9"/>
  <c r="G165" i="9"/>
  <c r="B165" i="9"/>
  <c r="M163" i="9"/>
  <c r="L163" i="9"/>
  <c r="K163" i="9"/>
  <c r="I163" i="9"/>
  <c r="J161" i="9"/>
  <c r="S160" i="9"/>
  <c r="P160" i="9"/>
  <c r="O160" i="9"/>
  <c r="N160" i="9"/>
  <c r="M160" i="9"/>
  <c r="L160" i="9"/>
  <c r="K160" i="9"/>
  <c r="I160" i="9"/>
  <c r="S158" i="9"/>
  <c r="R158" i="9"/>
  <c r="Q158" i="9"/>
  <c r="O158" i="9"/>
  <c r="L158" i="9"/>
  <c r="K158" i="9"/>
  <c r="J158" i="9"/>
  <c r="H158" i="9"/>
  <c r="G156" i="9"/>
  <c r="G157" i="9" s="1"/>
  <c r="G155" i="9"/>
  <c r="G151" i="9"/>
  <c r="B151" i="9"/>
  <c r="U149" i="9"/>
  <c r="T149" i="9"/>
  <c r="S149" i="9"/>
  <c r="R149" i="9"/>
  <c r="P149" i="9"/>
  <c r="T147" i="9"/>
  <c r="S147" i="9"/>
  <c r="R147" i="9"/>
  <c r="Q147" i="9"/>
  <c r="P147" i="9"/>
  <c r="O147" i="9"/>
  <c r="N147" i="9"/>
  <c r="I147" i="9"/>
  <c r="U146" i="9"/>
  <c r="T146" i="9"/>
  <c r="S146" i="9"/>
  <c r="R146" i="9"/>
  <c r="P146" i="9"/>
  <c r="T145" i="9"/>
  <c r="Q145" i="9"/>
  <c r="P145" i="9"/>
  <c r="O145" i="9"/>
  <c r="N145" i="9"/>
  <c r="M145" i="9"/>
  <c r="K145" i="9"/>
  <c r="T144" i="9"/>
  <c r="O144" i="9"/>
  <c r="N144" i="9"/>
  <c r="I144" i="9"/>
  <c r="G137" i="9"/>
  <c r="B137" i="9"/>
  <c r="H135" i="9"/>
  <c r="G135" i="9"/>
  <c r="U133" i="9"/>
  <c r="U132" i="9"/>
  <c r="T132" i="9"/>
  <c r="S132" i="9"/>
  <c r="R132" i="9"/>
  <c r="Q132" i="9"/>
  <c r="P132" i="9"/>
  <c r="I132" i="9"/>
  <c r="H132" i="9"/>
  <c r="G132" i="9"/>
  <c r="Q131" i="9"/>
  <c r="U130" i="9"/>
  <c r="Q130" i="9"/>
  <c r="P130" i="9"/>
  <c r="O130" i="9"/>
  <c r="N130" i="9"/>
  <c r="M130" i="9"/>
  <c r="L130" i="9"/>
  <c r="G123" i="9"/>
  <c r="B123" i="9"/>
  <c r="G122" i="9"/>
  <c r="G120" i="9"/>
  <c r="G119" i="9"/>
  <c r="G118" i="9"/>
  <c r="G117" i="9"/>
  <c r="H116" i="9"/>
  <c r="G116" i="9"/>
  <c r="G115" i="9"/>
  <c r="H114" i="9"/>
  <c r="I114" i="9" s="1"/>
  <c r="N111" i="9"/>
  <c r="M111" i="9"/>
  <c r="L111" i="9"/>
  <c r="K111" i="9"/>
  <c r="J111" i="9"/>
  <c r="I111" i="9"/>
  <c r="H111" i="9"/>
  <c r="G111" i="9"/>
  <c r="N110" i="9"/>
  <c r="G232" i="9" s="1"/>
  <c r="M110" i="9"/>
  <c r="L110" i="9"/>
  <c r="K110" i="9"/>
  <c r="J110" i="9"/>
  <c r="I110" i="9"/>
  <c r="H110" i="9"/>
  <c r="G110" i="9"/>
  <c r="N107" i="9"/>
  <c r="L107" i="9"/>
  <c r="K107" i="9"/>
  <c r="J107" i="9"/>
  <c r="I107" i="9"/>
  <c r="H107" i="9"/>
  <c r="G107" i="9"/>
  <c r="N104" i="9"/>
  <c r="M104" i="9"/>
  <c r="M107" i="9" s="1"/>
  <c r="G231" i="9" s="1"/>
  <c r="L104" i="9"/>
  <c r="K104" i="9"/>
  <c r="J104" i="9"/>
  <c r="I104" i="9"/>
  <c r="H104" i="9"/>
  <c r="G104" i="9"/>
  <c r="H96" i="9"/>
  <c r="K93" i="9"/>
  <c r="J93" i="9"/>
  <c r="I93" i="9"/>
  <c r="H93" i="9"/>
  <c r="G93" i="9"/>
  <c r="K92" i="9"/>
  <c r="J92" i="9"/>
  <c r="I92" i="9"/>
  <c r="H92" i="9"/>
  <c r="G92" i="9"/>
  <c r="K91" i="9"/>
  <c r="J91" i="9"/>
  <c r="I91" i="9"/>
  <c r="H91" i="9"/>
  <c r="G91" i="9"/>
  <c r="K90" i="9"/>
  <c r="J90" i="9"/>
  <c r="I90" i="9"/>
  <c r="H90" i="9"/>
  <c r="G90" i="9"/>
  <c r="K89" i="9"/>
  <c r="J89" i="9"/>
  <c r="M177" i="9" s="1"/>
  <c r="I89" i="9"/>
  <c r="H89" i="9"/>
  <c r="H147" i="9" s="1"/>
  <c r="G89" i="9"/>
  <c r="P215" i="9" s="1"/>
  <c r="K88" i="9"/>
  <c r="G191" i="9" s="1"/>
  <c r="J88" i="9"/>
  <c r="N177" i="9" s="1"/>
  <c r="I88" i="9"/>
  <c r="H88" i="9"/>
  <c r="J149" i="9" s="1"/>
  <c r="G88" i="9"/>
  <c r="K83" i="9"/>
  <c r="J83" i="9"/>
  <c r="I83" i="9"/>
  <c r="H83" i="9"/>
  <c r="G83" i="9"/>
  <c r="D73" i="13" s="1"/>
  <c r="F73" i="13" s="1"/>
  <c r="K80" i="9"/>
  <c r="J80" i="9"/>
  <c r="I80" i="9"/>
  <c r="H80" i="9"/>
  <c r="F70" i="9"/>
  <c r="G64" i="9"/>
  <c r="F64" i="9"/>
  <c r="F63" i="9"/>
  <c r="C63" i="9"/>
  <c r="D62" i="9"/>
  <c r="C62" i="9"/>
  <c r="F61" i="9"/>
  <c r="D61" i="9"/>
  <c r="C61" i="9"/>
  <c r="G61" i="9" s="1"/>
  <c r="F60" i="9"/>
  <c r="D60" i="9"/>
  <c r="C60" i="9"/>
  <c r="G60" i="9" s="1"/>
  <c r="F56" i="9"/>
  <c r="F55" i="9"/>
  <c r="F54" i="9"/>
  <c r="F52" i="9"/>
  <c r="G212" i="9" s="1"/>
  <c r="F49" i="9"/>
  <c r="F47" i="9"/>
  <c r="G39" i="9"/>
  <c r="F39" i="9"/>
  <c r="F37" i="9"/>
  <c r="F36" i="9"/>
  <c r="G162" i="9" s="1"/>
  <c r="F34" i="9"/>
  <c r="F33" i="9"/>
  <c r="F32" i="9"/>
  <c r="F31" i="9"/>
  <c r="F30" i="9"/>
  <c r="F29" i="9"/>
  <c r="F27" i="9"/>
  <c r="F23" i="9"/>
  <c r="F25" i="9" s="1"/>
  <c r="G22" i="9"/>
  <c r="F22" i="9"/>
  <c r="G19" i="9"/>
  <c r="F19" i="9"/>
  <c r="G242" i="8"/>
  <c r="G234" i="8"/>
  <c r="X232" i="8"/>
  <c r="W232" i="8"/>
  <c r="C232" i="8"/>
  <c r="B232" i="8"/>
  <c r="X231" i="8"/>
  <c r="W231" i="8"/>
  <c r="C231" i="8"/>
  <c r="B231" i="8"/>
  <c r="X230" i="8"/>
  <c r="W230" i="8"/>
  <c r="C230" i="8"/>
  <c r="B230" i="8"/>
  <c r="X229" i="8"/>
  <c r="W229" i="8"/>
  <c r="C229" i="8"/>
  <c r="B229" i="8"/>
  <c r="X228" i="8"/>
  <c r="W228" i="8"/>
  <c r="C228" i="8"/>
  <c r="B228" i="8"/>
  <c r="X227" i="8"/>
  <c r="W227" i="8"/>
  <c r="C227" i="8"/>
  <c r="B227" i="8"/>
  <c r="X226" i="8"/>
  <c r="W226" i="8"/>
  <c r="C226" i="8"/>
  <c r="B226" i="8"/>
  <c r="X225" i="8"/>
  <c r="W225" i="8"/>
  <c r="C225" i="8"/>
  <c r="B225" i="8"/>
  <c r="G224" i="8"/>
  <c r="G212" i="8"/>
  <c r="G209" i="8"/>
  <c r="G205" i="8"/>
  <c r="H194" i="8"/>
  <c r="G194" i="8"/>
  <c r="U191" i="8"/>
  <c r="T191" i="8"/>
  <c r="S191" i="8"/>
  <c r="R191" i="8"/>
  <c r="Q191" i="8"/>
  <c r="P191" i="8"/>
  <c r="G191" i="8"/>
  <c r="R189" i="8"/>
  <c r="Q189" i="8"/>
  <c r="P189" i="8"/>
  <c r="O189" i="8"/>
  <c r="N189" i="8"/>
  <c r="M189" i="8"/>
  <c r="L189" i="8"/>
  <c r="U188" i="8"/>
  <c r="T188" i="8"/>
  <c r="S188" i="8"/>
  <c r="R188" i="8"/>
  <c r="Q188" i="8"/>
  <c r="P188" i="8"/>
  <c r="O188" i="8"/>
  <c r="J188" i="8"/>
  <c r="I188" i="8"/>
  <c r="H188" i="8"/>
  <c r="G188" i="8"/>
  <c r="S187" i="8"/>
  <c r="N187" i="8"/>
  <c r="M187" i="8"/>
  <c r="L187" i="8"/>
  <c r="K187" i="8"/>
  <c r="J187" i="8"/>
  <c r="I187" i="8"/>
  <c r="H187" i="8"/>
  <c r="R186" i="8"/>
  <c r="Q186" i="8"/>
  <c r="P186" i="8"/>
  <c r="O186" i="8"/>
  <c r="N186" i="8"/>
  <c r="M186" i="8"/>
  <c r="L186" i="8"/>
  <c r="K186" i="8"/>
  <c r="U185" i="8"/>
  <c r="T185" i="8"/>
  <c r="S185" i="8"/>
  <c r="R185" i="8"/>
  <c r="Q185" i="8"/>
  <c r="P185" i="8"/>
  <c r="O185" i="8"/>
  <c r="N185" i="8"/>
  <c r="M185" i="8"/>
  <c r="L185" i="8"/>
  <c r="K185" i="8"/>
  <c r="J185" i="8"/>
  <c r="I185" i="8"/>
  <c r="H185" i="8"/>
  <c r="G185" i="8"/>
  <c r="U184" i="8"/>
  <c r="T184" i="8"/>
  <c r="S184" i="8"/>
  <c r="R184" i="8"/>
  <c r="Q184" i="8"/>
  <c r="P184" i="8"/>
  <c r="O184" i="8"/>
  <c r="N184" i="8"/>
  <c r="M184" i="8"/>
  <c r="L184" i="8"/>
  <c r="K184" i="8"/>
  <c r="J184" i="8"/>
  <c r="I184" i="8"/>
  <c r="H184" i="8"/>
  <c r="G184" i="8"/>
  <c r="H179" i="8"/>
  <c r="G179" i="8"/>
  <c r="B179" i="8"/>
  <c r="P177" i="8"/>
  <c r="O177" i="8"/>
  <c r="N177" i="8"/>
  <c r="M177" i="8"/>
  <c r="L177" i="8"/>
  <c r="G177" i="8"/>
  <c r="G176" i="8"/>
  <c r="U175" i="8"/>
  <c r="L175" i="8"/>
  <c r="K175" i="8"/>
  <c r="J175" i="8"/>
  <c r="I175" i="8"/>
  <c r="H175" i="8"/>
  <c r="S174" i="8"/>
  <c r="R174" i="8"/>
  <c r="Q174" i="8"/>
  <c r="P174" i="8"/>
  <c r="O174" i="8"/>
  <c r="N174" i="8"/>
  <c r="M174" i="8"/>
  <c r="L174" i="8"/>
  <c r="G174" i="8"/>
  <c r="U173" i="8"/>
  <c r="T173" i="8"/>
  <c r="S173" i="8"/>
  <c r="R173" i="8"/>
  <c r="Q173" i="8"/>
  <c r="H173" i="8"/>
  <c r="G173" i="8"/>
  <c r="U172" i="8"/>
  <c r="T172" i="8"/>
  <c r="O172" i="8"/>
  <c r="N172" i="8"/>
  <c r="M172" i="8"/>
  <c r="L172" i="8"/>
  <c r="K172" i="8"/>
  <c r="J172" i="8"/>
  <c r="I172" i="8"/>
  <c r="H172" i="8"/>
  <c r="U171" i="8"/>
  <c r="T171" i="8"/>
  <c r="S171" i="8"/>
  <c r="R171" i="8"/>
  <c r="Q171" i="8"/>
  <c r="P171" i="8"/>
  <c r="O171" i="8"/>
  <c r="N171" i="8"/>
  <c r="M171" i="8"/>
  <c r="L171" i="8"/>
  <c r="K171" i="8"/>
  <c r="J171" i="8"/>
  <c r="I171" i="8"/>
  <c r="H171" i="8"/>
  <c r="G171" i="8"/>
  <c r="U170" i="8"/>
  <c r="T170" i="8"/>
  <c r="S170" i="8"/>
  <c r="R170" i="8"/>
  <c r="Q170" i="8"/>
  <c r="P170" i="8"/>
  <c r="O170" i="8"/>
  <c r="N170" i="8"/>
  <c r="M170" i="8"/>
  <c r="L170" i="8"/>
  <c r="K170" i="8"/>
  <c r="J170" i="8"/>
  <c r="I170" i="8"/>
  <c r="H170" i="8"/>
  <c r="G170" i="8"/>
  <c r="G169" i="8"/>
  <c r="G165" i="8"/>
  <c r="B165" i="8"/>
  <c r="U163" i="8"/>
  <c r="P163" i="8"/>
  <c r="K163" i="8"/>
  <c r="J163" i="8"/>
  <c r="I163" i="8"/>
  <c r="U161" i="8"/>
  <c r="T161" i="8"/>
  <c r="S161" i="8"/>
  <c r="R161" i="8"/>
  <c r="Q161" i="8"/>
  <c r="L161" i="8"/>
  <c r="G161" i="8"/>
  <c r="N160" i="8"/>
  <c r="M160" i="8"/>
  <c r="L160" i="8"/>
  <c r="S159" i="8"/>
  <c r="R159" i="8"/>
  <c r="Q159" i="8"/>
  <c r="P159" i="8"/>
  <c r="O159" i="8"/>
  <c r="N159" i="8"/>
  <c r="M159" i="8"/>
  <c r="H159" i="8"/>
  <c r="R158" i="8"/>
  <c r="Q158" i="8"/>
  <c r="L158" i="8"/>
  <c r="K158" i="8"/>
  <c r="J158" i="8"/>
  <c r="I158" i="8"/>
  <c r="H158" i="8"/>
  <c r="U157" i="8"/>
  <c r="T157" i="8"/>
  <c r="S157" i="8"/>
  <c r="R157" i="8"/>
  <c r="Q157" i="8"/>
  <c r="P157" i="8"/>
  <c r="O157" i="8"/>
  <c r="N157" i="8"/>
  <c r="M157" i="8"/>
  <c r="L157" i="8"/>
  <c r="K157" i="8"/>
  <c r="J157" i="8"/>
  <c r="I157" i="8"/>
  <c r="H157" i="8"/>
  <c r="G157" i="8"/>
  <c r="U156" i="8"/>
  <c r="T156" i="8"/>
  <c r="S156" i="8"/>
  <c r="R156" i="8"/>
  <c r="Q156" i="8"/>
  <c r="P156" i="8"/>
  <c r="O156" i="8"/>
  <c r="N156" i="8"/>
  <c r="M156" i="8"/>
  <c r="L156" i="8"/>
  <c r="K156" i="8"/>
  <c r="J156" i="8"/>
  <c r="I156" i="8"/>
  <c r="H156" i="8"/>
  <c r="G156" i="8"/>
  <c r="G155" i="8"/>
  <c r="G151" i="8"/>
  <c r="B151" i="8"/>
  <c r="U147" i="8"/>
  <c r="T147" i="8"/>
  <c r="S147" i="8"/>
  <c r="R147" i="8"/>
  <c r="Q147" i="8"/>
  <c r="P147" i="8"/>
  <c r="O147" i="8"/>
  <c r="N147" i="8"/>
  <c r="L147" i="8"/>
  <c r="I147" i="8"/>
  <c r="H147" i="8"/>
  <c r="G147" i="8"/>
  <c r="T145" i="8"/>
  <c r="Q145" i="8"/>
  <c r="P145" i="8"/>
  <c r="O145" i="8"/>
  <c r="N145" i="8"/>
  <c r="M145" i="8"/>
  <c r="L145" i="8"/>
  <c r="K145" i="8"/>
  <c r="J145" i="8"/>
  <c r="H145" i="8"/>
  <c r="G141" i="8"/>
  <c r="H137" i="8"/>
  <c r="G137" i="8"/>
  <c r="B137" i="8"/>
  <c r="R133" i="8"/>
  <c r="Q133" i="8"/>
  <c r="P133" i="8"/>
  <c r="O133" i="8"/>
  <c r="N133" i="8"/>
  <c r="M133" i="8"/>
  <c r="L133" i="8"/>
  <c r="K133" i="8"/>
  <c r="U132" i="8"/>
  <c r="P132" i="8"/>
  <c r="U131" i="8"/>
  <c r="T131" i="8"/>
  <c r="S131" i="8"/>
  <c r="N131" i="8"/>
  <c r="M131" i="8"/>
  <c r="L131" i="8"/>
  <c r="K131" i="8"/>
  <c r="J131" i="8"/>
  <c r="I131" i="8"/>
  <c r="H131" i="8"/>
  <c r="G131" i="8"/>
  <c r="O130" i="8"/>
  <c r="N130" i="8"/>
  <c r="M130" i="8"/>
  <c r="L130" i="8"/>
  <c r="K130" i="8"/>
  <c r="G123" i="8"/>
  <c r="B123" i="8"/>
  <c r="G122" i="8"/>
  <c r="H119" i="8"/>
  <c r="G118" i="8"/>
  <c r="G117" i="8"/>
  <c r="H116" i="8"/>
  <c r="G116" i="8"/>
  <c r="H115" i="8"/>
  <c r="C133" i="13" s="1"/>
  <c r="G115" i="8"/>
  <c r="G119" i="8" s="1"/>
  <c r="G120" i="8" s="1"/>
  <c r="H114" i="8"/>
  <c r="N111" i="8"/>
  <c r="M111" i="8"/>
  <c r="L111" i="8"/>
  <c r="K111" i="8"/>
  <c r="J111" i="8"/>
  <c r="I111" i="8"/>
  <c r="H111" i="8"/>
  <c r="G111" i="8"/>
  <c r="N110" i="8"/>
  <c r="M110" i="8"/>
  <c r="L110" i="8"/>
  <c r="K110" i="8"/>
  <c r="J110" i="8"/>
  <c r="I110" i="8"/>
  <c r="H110" i="8"/>
  <c r="G110" i="8"/>
  <c r="N107" i="8"/>
  <c r="M107" i="8"/>
  <c r="L107" i="8"/>
  <c r="G230" i="8" s="1"/>
  <c r="K107" i="8"/>
  <c r="G107" i="8"/>
  <c r="N104" i="8"/>
  <c r="M104" i="8"/>
  <c r="L104" i="8"/>
  <c r="K104" i="8"/>
  <c r="J104" i="8"/>
  <c r="J107" i="8" s="1"/>
  <c r="I104" i="8"/>
  <c r="I107" i="8" s="1"/>
  <c r="H104" i="8"/>
  <c r="H107" i="8" s="1"/>
  <c r="G104" i="8"/>
  <c r="K96" i="8"/>
  <c r="J96" i="8"/>
  <c r="I96" i="8"/>
  <c r="K93" i="8"/>
  <c r="J93" i="8"/>
  <c r="I93" i="8"/>
  <c r="H93" i="8"/>
  <c r="G93" i="8"/>
  <c r="K92" i="8"/>
  <c r="J92" i="8"/>
  <c r="I92" i="8"/>
  <c r="H92" i="8"/>
  <c r="G92" i="8"/>
  <c r="K91" i="8"/>
  <c r="J91" i="8"/>
  <c r="I91" i="8"/>
  <c r="H91" i="8"/>
  <c r="G91" i="8"/>
  <c r="K90" i="8"/>
  <c r="J90" i="8"/>
  <c r="I90" i="8"/>
  <c r="H90" i="8"/>
  <c r="G90" i="8"/>
  <c r="K89" i="8"/>
  <c r="I191" i="8" s="1"/>
  <c r="J89" i="8"/>
  <c r="Q177" i="8" s="1"/>
  <c r="I89" i="8"/>
  <c r="H89" i="8"/>
  <c r="M147" i="8" s="1"/>
  <c r="G89" i="8"/>
  <c r="J133" i="8" s="1"/>
  <c r="K88" i="8"/>
  <c r="N191" i="8" s="1"/>
  <c r="J88" i="8"/>
  <c r="K177" i="8" s="1"/>
  <c r="I88" i="8"/>
  <c r="H88" i="8"/>
  <c r="G88" i="8"/>
  <c r="S132" i="8" s="1"/>
  <c r="K83" i="8"/>
  <c r="J83" i="8"/>
  <c r="I83" i="8"/>
  <c r="H83" i="8"/>
  <c r="G83" i="8"/>
  <c r="D62" i="13" s="1"/>
  <c r="F62" i="13" s="1"/>
  <c r="K80" i="8"/>
  <c r="J80" i="8"/>
  <c r="I80" i="8"/>
  <c r="H80" i="8"/>
  <c r="G80" i="8"/>
  <c r="D61" i="13" s="1"/>
  <c r="F61" i="13" s="1"/>
  <c r="F70" i="8"/>
  <c r="G64" i="8"/>
  <c r="F64" i="8"/>
  <c r="F63" i="8"/>
  <c r="C63" i="8"/>
  <c r="D63" i="8" s="1"/>
  <c r="G63" i="8" s="1"/>
  <c r="F62" i="8"/>
  <c r="D62" i="8"/>
  <c r="C62" i="8"/>
  <c r="G62" i="8" s="1"/>
  <c r="G61" i="8"/>
  <c r="F61" i="8"/>
  <c r="D61" i="8"/>
  <c r="C61" i="8"/>
  <c r="G60" i="8"/>
  <c r="F60" i="8"/>
  <c r="D60" i="8"/>
  <c r="C60" i="8"/>
  <c r="F56" i="8"/>
  <c r="F55" i="8"/>
  <c r="F54" i="8"/>
  <c r="F52" i="8"/>
  <c r="F49" i="8"/>
  <c r="F47" i="8"/>
  <c r="G39" i="8"/>
  <c r="F39" i="8"/>
  <c r="F37" i="8"/>
  <c r="F36" i="8"/>
  <c r="F34" i="8"/>
  <c r="F33" i="8"/>
  <c r="F32" i="8"/>
  <c r="F31" i="8"/>
  <c r="F30" i="8"/>
  <c r="F29" i="8"/>
  <c r="F27" i="8"/>
  <c r="F25" i="8"/>
  <c r="F23" i="8"/>
  <c r="G22" i="8"/>
  <c r="F22" i="8"/>
  <c r="G19" i="8"/>
  <c r="F19" i="8"/>
  <c r="G242" i="7"/>
  <c r="X232" i="7"/>
  <c r="W232" i="7"/>
  <c r="C232" i="7"/>
  <c r="B232" i="7"/>
  <c r="X231" i="7"/>
  <c r="W231" i="7"/>
  <c r="C231" i="7"/>
  <c r="B231" i="7"/>
  <c r="X230" i="7"/>
  <c r="W230" i="7"/>
  <c r="C230" i="7"/>
  <c r="B230" i="7"/>
  <c r="X229" i="7"/>
  <c r="W229" i="7"/>
  <c r="C229" i="7"/>
  <c r="B229" i="7"/>
  <c r="X228" i="7"/>
  <c r="W228" i="7"/>
  <c r="C228" i="7"/>
  <c r="B228" i="7"/>
  <c r="X227" i="7"/>
  <c r="W227" i="7"/>
  <c r="C227" i="7"/>
  <c r="B227" i="7"/>
  <c r="X226" i="7"/>
  <c r="W226" i="7"/>
  <c r="C226" i="7"/>
  <c r="B226" i="7"/>
  <c r="X225" i="7"/>
  <c r="W225" i="7"/>
  <c r="C225" i="7"/>
  <c r="B225" i="7"/>
  <c r="G224" i="7"/>
  <c r="H212" i="7"/>
  <c r="G212" i="7"/>
  <c r="H207" i="7"/>
  <c r="G205" i="7"/>
  <c r="H194" i="7"/>
  <c r="G194" i="7"/>
  <c r="T191" i="7"/>
  <c r="H191" i="7"/>
  <c r="U189" i="7"/>
  <c r="P189" i="7"/>
  <c r="O189" i="7"/>
  <c r="N189" i="7"/>
  <c r="M189" i="7"/>
  <c r="R188" i="7"/>
  <c r="Q188" i="7"/>
  <c r="P188" i="7"/>
  <c r="O188" i="7"/>
  <c r="N188" i="7"/>
  <c r="M188" i="7"/>
  <c r="T187" i="7"/>
  <c r="S187" i="7"/>
  <c r="R187" i="7"/>
  <c r="Q187" i="7"/>
  <c r="L187" i="7"/>
  <c r="K187" i="7"/>
  <c r="J187" i="7"/>
  <c r="I187" i="7"/>
  <c r="P186" i="7"/>
  <c r="O186" i="7"/>
  <c r="N186" i="7"/>
  <c r="M186" i="7"/>
  <c r="L186" i="7"/>
  <c r="U185" i="7"/>
  <c r="T185" i="7"/>
  <c r="S185" i="7"/>
  <c r="R185" i="7"/>
  <c r="Q185" i="7"/>
  <c r="P185" i="7"/>
  <c r="O185" i="7"/>
  <c r="N185" i="7"/>
  <c r="M185" i="7"/>
  <c r="L185" i="7"/>
  <c r="K185" i="7"/>
  <c r="J185" i="7"/>
  <c r="I185" i="7"/>
  <c r="H185" i="7"/>
  <c r="G185" i="7"/>
  <c r="U184" i="7"/>
  <c r="T184" i="7"/>
  <c r="S184" i="7"/>
  <c r="R184" i="7"/>
  <c r="Q184" i="7"/>
  <c r="P184" i="7"/>
  <c r="O184" i="7"/>
  <c r="N184" i="7"/>
  <c r="M184" i="7"/>
  <c r="L184" i="7"/>
  <c r="K184" i="7"/>
  <c r="J184" i="7"/>
  <c r="I184" i="7"/>
  <c r="H184" i="7"/>
  <c r="G184" i="7"/>
  <c r="G179" i="7"/>
  <c r="B179" i="7"/>
  <c r="Q177" i="7"/>
  <c r="O177" i="7"/>
  <c r="R175" i="7"/>
  <c r="M175" i="7"/>
  <c r="L175" i="7"/>
  <c r="K175" i="7"/>
  <c r="J175" i="7"/>
  <c r="I175" i="7"/>
  <c r="H175" i="7"/>
  <c r="G175" i="7"/>
  <c r="U173" i="7"/>
  <c r="T173" i="7"/>
  <c r="S173" i="7"/>
  <c r="N173" i="7"/>
  <c r="I173" i="7"/>
  <c r="H173" i="7"/>
  <c r="G173" i="7"/>
  <c r="G165" i="7"/>
  <c r="B165" i="7"/>
  <c r="U163" i="7"/>
  <c r="S163" i="7"/>
  <c r="J163" i="7"/>
  <c r="Q161" i="7"/>
  <c r="P161" i="7"/>
  <c r="O161" i="7"/>
  <c r="J161" i="7"/>
  <c r="I161" i="7"/>
  <c r="H161" i="7"/>
  <c r="G161" i="7"/>
  <c r="R159" i="7"/>
  <c r="M159" i="7"/>
  <c r="L159" i="7"/>
  <c r="K159" i="7"/>
  <c r="G151" i="7"/>
  <c r="B151" i="7"/>
  <c r="R149" i="7"/>
  <c r="J149" i="7"/>
  <c r="I149" i="7"/>
  <c r="H149" i="7"/>
  <c r="O147" i="7"/>
  <c r="N147" i="7"/>
  <c r="M147" i="7"/>
  <c r="L147" i="7"/>
  <c r="G147" i="7"/>
  <c r="J146" i="7"/>
  <c r="I146" i="7"/>
  <c r="U145" i="7"/>
  <c r="T145" i="7"/>
  <c r="K145" i="7"/>
  <c r="J145" i="7"/>
  <c r="I145" i="7"/>
  <c r="H145" i="7"/>
  <c r="R144" i="7"/>
  <c r="Q144" i="7"/>
  <c r="P144" i="7"/>
  <c r="H137" i="7"/>
  <c r="G137" i="7"/>
  <c r="B137" i="7"/>
  <c r="G135" i="7"/>
  <c r="U133" i="7"/>
  <c r="K133" i="7"/>
  <c r="T132" i="7"/>
  <c r="S132" i="7"/>
  <c r="Q132" i="7"/>
  <c r="G132" i="7"/>
  <c r="U131" i="7"/>
  <c r="T131" i="7"/>
  <c r="S131" i="7"/>
  <c r="R131" i="7"/>
  <c r="H131" i="7"/>
  <c r="U130" i="7"/>
  <c r="O130" i="7"/>
  <c r="N130" i="7"/>
  <c r="M130" i="7"/>
  <c r="H127" i="7"/>
  <c r="H123" i="7"/>
  <c r="G123" i="7"/>
  <c r="B123" i="7"/>
  <c r="H122" i="7"/>
  <c r="G122" i="7"/>
  <c r="G119" i="7"/>
  <c r="G118" i="7"/>
  <c r="H117" i="7"/>
  <c r="G117" i="7"/>
  <c r="H116" i="7"/>
  <c r="G116" i="7"/>
  <c r="H115" i="7"/>
  <c r="G115" i="7"/>
  <c r="H114" i="7"/>
  <c r="H242" i="7" s="1"/>
  <c r="N111" i="7"/>
  <c r="M111" i="7"/>
  <c r="L111" i="7"/>
  <c r="K111" i="7"/>
  <c r="J111" i="7"/>
  <c r="I111" i="7"/>
  <c r="H111" i="7"/>
  <c r="G111" i="7"/>
  <c r="N110" i="7"/>
  <c r="M110" i="7"/>
  <c r="L110" i="7"/>
  <c r="K110" i="7"/>
  <c r="J110" i="7"/>
  <c r="I110" i="7"/>
  <c r="H110" i="7"/>
  <c r="G110" i="7"/>
  <c r="N107" i="7"/>
  <c r="L107" i="7"/>
  <c r="J107" i="7"/>
  <c r="N104" i="7"/>
  <c r="M104" i="7"/>
  <c r="M107" i="7" s="1"/>
  <c r="L104" i="7"/>
  <c r="K104" i="7"/>
  <c r="K107" i="7" s="1"/>
  <c r="J104" i="7"/>
  <c r="I104" i="7"/>
  <c r="I107" i="7" s="1"/>
  <c r="H104" i="7"/>
  <c r="H107" i="7" s="1"/>
  <c r="G104" i="7"/>
  <c r="G107" i="7" s="1"/>
  <c r="K96" i="7"/>
  <c r="K93" i="7"/>
  <c r="J93" i="7"/>
  <c r="I93" i="7"/>
  <c r="H93" i="7"/>
  <c r="G93" i="7"/>
  <c r="K92" i="7"/>
  <c r="J92" i="7"/>
  <c r="I92" i="7"/>
  <c r="H92" i="7"/>
  <c r="G92" i="7"/>
  <c r="K91" i="7"/>
  <c r="J91" i="7"/>
  <c r="I91" i="7"/>
  <c r="H91" i="7"/>
  <c r="G91" i="7"/>
  <c r="K90" i="7"/>
  <c r="J90" i="7"/>
  <c r="I90" i="7"/>
  <c r="H90" i="7"/>
  <c r="G90" i="7"/>
  <c r="K89" i="7"/>
  <c r="K189" i="7" s="1"/>
  <c r="J89" i="7"/>
  <c r="T175" i="7" s="1"/>
  <c r="I89" i="7"/>
  <c r="R161" i="7" s="1"/>
  <c r="H89" i="7"/>
  <c r="G89" i="7"/>
  <c r="K88" i="7"/>
  <c r="Q191" i="7" s="1"/>
  <c r="J88" i="7"/>
  <c r="I88" i="7"/>
  <c r="H88" i="7"/>
  <c r="G88" i="7"/>
  <c r="M216" i="7" s="1"/>
  <c r="K83" i="7"/>
  <c r="J83" i="7"/>
  <c r="K80" i="7"/>
  <c r="J80" i="7"/>
  <c r="I80" i="7"/>
  <c r="H80" i="7"/>
  <c r="G80" i="7"/>
  <c r="D50" i="13" s="1"/>
  <c r="F50" i="13" s="1"/>
  <c r="F70" i="7"/>
  <c r="G64" i="7"/>
  <c r="F64" i="7"/>
  <c r="C63" i="7"/>
  <c r="G62" i="7"/>
  <c r="F62" i="7"/>
  <c r="D62" i="7"/>
  <c r="C62" i="7"/>
  <c r="G61" i="7"/>
  <c r="D61" i="7"/>
  <c r="C61" i="7"/>
  <c r="F61" i="7" s="1"/>
  <c r="D60" i="7"/>
  <c r="C60" i="7"/>
  <c r="F56" i="7"/>
  <c r="F55" i="7"/>
  <c r="F54" i="7"/>
  <c r="F52" i="7"/>
  <c r="F49" i="7"/>
  <c r="F47" i="7"/>
  <c r="F37" i="7"/>
  <c r="G39" i="7" s="1"/>
  <c r="F36" i="7"/>
  <c r="F34" i="7"/>
  <c r="F33" i="7"/>
  <c r="F32" i="7"/>
  <c r="F31" i="7"/>
  <c r="F30" i="7"/>
  <c r="F29" i="7"/>
  <c r="F27" i="7"/>
  <c r="F23" i="7"/>
  <c r="F25" i="7" s="1"/>
  <c r="H219" i="7" s="1"/>
  <c r="H221" i="7" s="1"/>
  <c r="G19" i="7"/>
  <c r="F19" i="7"/>
  <c r="G242" i="6"/>
  <c r="X232" i="6"/>
  <c r="W232" i="6"/>
  <c r="C232" i="6"/>
  <c r="B232" i="6"/>
  <c r="X231" i="6"/>
  <c r="W231" i="6"/>
  <c r="C231" i="6"/>
  <c r="B231" i="6"/>
  <c r="X230" i="6"/>
  <c r="W230" i="6"/>
  <c r="C230" i="6"/>
  <c r="B230" i="6"/>
  <c r="X229" i="6"/>
  <c r="W229" i="6"/>
  <c r="C229" i="6"/>
  <c r="B229" i="6"/>
  <c r="X228" i="6"/>
  <c r="W228" i="6"/>
  <c r="C228" i="6"/>
  <c r="B228" i="6"/>
  <c r="X227" i="6"/>
  <c r="W227" i="6"/>
  <c r="C227" i="6"/>
  <c r="B227" i="6"/>
  <c r="X226" i="6"/>
  <c r="W226" i="6"/>
  <c r="C226" i="6"/>
  <c r="B226" i="6"/>
  <c r="X225" i="6"/>
  <c r="W225" i="6"/>
  <c r="C225" i="6"/>
  <c r="B225" i="6"/>
  <c r="G224" i="6"/>
  <c r="U216" i="6"/>
  <c r="G212" i="6"/>
  <c r="H209" i="6"/>
  <c r="G205" i="6"/>
  <c r="G194" i="6"/>
  <c r="K191" i="6"/>
  <c r="J191" i="6"/>
  <c r="I191" i="6"/>
  <c r="H191" i="6"/>
  <c r="M189" i="6"/>
  <c r="L189" i="6"/>
  <c r="Q188" i="6"/>
  <c r="J188" i="6"/>
  <c r="I188" i="6"/>
  <c r="H188" i="6"/>
  <c r="G188" i="6"/>
  <c r="S186" i="6"/>
  <c r="R186" i="6"/>
  <c r="Q186" i="6"/>
  <c r="P186" i="6"/>
  <c r="O186" i="6"/>
  <c r="M186" i="6"/>
  <c r="U185" i="6"/>
  <c r="T185" i="6"/>
  <c r="S185" i="6"/>
  <c r="R185" i="6"/>
  <c r="Q185" i="6"/>
  <c r="P185" i="6"/>
  <c r="O185" i="6"/>
  <c r="N185" i="6"/>
  <c r="M185" i="6"/>
  <c r="L185" i="6"/>
  <c r="K185" i="6"/>
  <c r="J185" i="6"/>
  <c r="I185" i="6"/>
  <c r="H185" i="6"/>
  <c r="G185" i="6"/>
  <c r="U184" i="6"/>
  <c r="T184" i="6"/>
  <c r="S184" i="6"/>
  <c r="R184" i="6"/>
  <c r="Q184" i="6"/>
  <c r="P184" i="6"/>
  <c r="O184" i="6"/>
  <c r="N184" i="6"/>
  <c r="M184" i="6"/>
  <c r="L184" i="6"/>
  <c r="K184" i="6"/>
  <c r="J184" i="6"/>
  <c r="I184" i="6"/>
  <c r="H184" i="6"/>
  <c r="G184" i="6"/>
  <c r="G179" i="6"/>
  <c r="B179" i="6"/>
  <c r="T177" i="6"/>
  <c r="S177" i="6"/>
  <c r="Q177" i="6"/>
  <c r="P175" i="6"/>
  <c r="O175" i="6"/>
  <c r="K175" i="6"/>
  <c r="R173" i="6"/>
  <c r="Q173" i="6"/>
  <c r="L173" i="6"/>
  <c r="K173" i="6"/>
  <c r="J173" i="6"/>
  <c r="I173" i="6"/>
  <c r="G173" i="6"/>
  <c r="G165" i="6"/>
  <c r="B165" i="6"/>
  <c r="T161" i="6"/>
  <c r="S161" i="6"/>
  <c r="U159" i="6"/>
  <c r="T159" i="6"/>
  <c r="G151" i="6"/>
  <c r="B151" i="6"/>
  <c r="T149" i="6"/>
  <c r="U147" i="6"/>
  <c r="T147" i="6"/>
  <c r="S147" i="6"/>
  <c r="Q147" i="6"/>
  <c r="G147" i="6"/>
  <c r="R145" i="6"/>
  <c r="Q145" i="6"/>
  <c r="P145" i="6"/>
  <c r="O145" i="6"/>
  <c r="M145" i="6"/>
  <c r="H145" i="6"/>
  <c r="G137" i="6"/>
  <c r="B137" i="6"/>
  <c r="T135" i="6"/>
  <c r="S135" i="6"/>
  <c r="P135" i="6"/>
  <c r="O135" i="6"/>
  <c r="M135" i="6"/>
  <c r="L135" i="6"/>
  <c r="J135" i="6"/>
  <c r="G135" i="6"/>
  <c r="U133" i="6"/>
  <c r="S133" i="6"/>
  <c r="R133" i="6"/>
  <c r="L133" i="6"/>
  <c r="K133" i="6"/>
  <c r="I133" i="6"/>
  <c r="H133" i="6"/>
  <c r="G133" i="6"/>
  <c r="U132" i="6"/>
  <c r="S132" i="6"/>
  <c r="P132" i="6"/>
  <c r="O132" i="6"/>
  <c r="N132" i="6"/>
  <c r="M132" i="6"/>
  <c r="L132" i="6"/>
  <c r="K132" i="6"/>
  <c r="J132" i="6"/>
  <c r="I132" i="6"/>
  <c r="G132" i="6"/>
  <c r="T131" i="6"/>
  <c r="S131" i="6"/>
  <c r="Q131" i="6"/>
  <c r="P131" i="6"/>
  <c r="M131" i="6"/>
  <c r="K131" i="6"/>
  <c r="H131" i="6"/>
  <c r="G131" i="6"/>
  <c r="U130" i="6"/>
  <c r="T130" i="6"/>
  <c r="S130" i="6"/>
  <c r="R130" i="6"/>
  <c r="Q130" i="6"/>
  <c r="O130" i="6"/>
  <c r="L130" i="6"/>
  <c r="K130" i="6"/>
  <c r="J130" i="6"/>
  <c r="I130" i="6"/>
  <c r="H130" i="6"/>
  <c r="G130" i="6"/>
  <c r="G123" i="6"/>
  <c r="B123" i="6"/>
  <c r="G122" i="6"/>
  <c r="G118" i="6"/>
  <c r="H117" i="6"/>
  <c r="G117" i="6"/>
  <c r="G116" i="6"/>
  <c r="G115" i="6"/>
  <c r="G119" i="6" s="1"/>
  <c r="H114" i="6"/>
  <c r="N111" i="6"/>
  <c r="M111" i="6"/>
  <c r="L111" i="6"/>
  <c r="K111" i="6"/>
  <c r="J111" i="6"/>
  <c r="I111" i="6"/>
  <c r="H111" i="6"/>
  <c r="G111" i="6"/>
  <c r="N110" i="6"/>
  <c r="M110" i="6"/>
  <c r="L110" i="6"/>
  <c r="K110" i="6"/>
  <c r="J110" i="6"/>
  <c r="I110" i="6"/>
  <c r="H110" i="6"/>
  <c r="G110" i="6"/>
  <c r="N107" i="6"/>
  <c r="M107" i="6"/>
  <c r="H107" i="6"/>
  <c r="N104" i="6"/>
  <c r="M104" i="6"/>
  <c r="L104" i="6"/>
  <c r="L107" i="6" s="1"/>
  <c r="K104" i="6"/>
  <c r="K107" i="6" s="1"/>
  <c r="J104" i="6"/>
  <c r="J107" i="6" s="1"/>
  <c r="I104" i="6"/>
  <c r="I107" i="6" s="1"/>
  <c r="H104" i="6"/>
  <c r="G104" i="6"/>
  <c r="G107" i="6" s="1"/>
  <c r="K96" i="6"/>
  <c r="G96" i="6"/>
  <c r="K93" i="6"/>
  <c r="J93" i="6"/>
  <c r="I93" i="6"/>
  <c r="H93" i="6"/>
  <c r="G93" i="6"/>
  <c r="K92" i="6"/>
  <c r="J92" i="6"/>
  <c r="I92" i="6"/>
  <c r="H92" i="6"/>
  <c r="G92" i="6"/>
  <c r="K91" i="6"/>
  <c r="J91" i="6"/>
  <c r="I91" i="6"/>
  <c r="H91" i="6"/>
  <c r="G91" i="6"/>
  <c r="K90" i="6"/>
  <c r="J90" i="6"/>
  <c r="I90" i="6"/>
  <c r="H90" i="6"/>
  <c r="G90" i="6"/>
  <c r="K89" i="6"/>
  <c r="J89" i="6"/>
  <c r="N175" i="6" s="1"/>
  <c r="I89" i="6"/>
  <c r="M161" i="6" s="1"/>
  <c r="H89" i="6"/>
  <c r="L147" i="6" s="1"/>
  <c r="G89" i="6"/>
  <c r="K88" i="6"/>
  <c r="J88" i="6"/>
  <c r="G177" i="6" s="1"/>
  <c r="I88" i="6"/>
  <c r="H88" i="6"/>
  <c r="G144" i="6" s="1"/>
  <c r="G88" i="6"/>
  <c r="L216" i="6" s="1"/>
  <c r="K83" i="6"/>
  <c r="J83" i="6"/>
  <c r="I83" i="6"/>
  <c r="H83" i="6"/>
  <c r="G83" i="6"/>
  <c r="D40" i="13" s="1"/>
  <c r="F40" i="13" s="1"/>
  <c r="K80" i="6"/>
  <c r="J80" i="6"/>
  <c r="I80" i="6"/>
  <c r="H80" i="6"/>
  <c r="G80" i="6"/>
  <c r="D39" i="13" s="1"/>
  <c r="F39" i="13" s="1"/>
  <c r="F70" i="6"/>
  <c r="G64" i="6"/>
  <c r="F64" i="6"/>
  <c r="F63" i="6"/>
  <c r="D63" i="6"/>
  <c r="C63" i="6"/>
  <c r="G63" i="6" s="1"/>
  <c r="D62" i="6"/>
  <c r="C62" i="6"/>
  <c r="G62" i="6" s="1"/>
  <c r="D61" i="6"/>
  <c r="C61" i="6"/>
  <c r="D60" i="6"/>
  <c r="G60" i="6" s="1"/>
  <c r="C60" i="6"/>
  <c r="F60" i="6" s="1"/>
  <c r="F56" i="6"/>
  <c r="F55" i="6"/>
  <c r="F54" i="6"/>
  <c r="F52" i="6"/>
  <c r="F49" i="6"/>
  <c r="F47" i="6"/>
  <c r="F37" i="6"/>
  <c r="G39" i="6" s="1"/>
  <c r="F34" i="6"/>
  <c r="F36" i="6" s="1"/>
  <c r="F33" i="6"/>
  <c r="F32" i="6"/>
  <c r="F31" i="6"/>
  <c r="F30" i="6"/>
  <c r="F29" i="6"/>
  <c r="F27" i="6"/>
  <c r="F23" i="6"/>
  <c r="F25" i="6" s="1"/>
  <c r="G19" i="6"/>
  <c r="F19" i="6"/>
  <c r="G22" i="6" s="1"/>
  <c r="G242" i="5"/>
  <c r="X232" i="5"/>
  <c r="W232" i="5"/>
  <c r="C232" i="5"/>
  <c r="B232" i="5"/>
  <c r="X231" i="5"/>
  <c r="W231" i="5"/>
  <c r="G231" i="5"/>
  <c r="C231" i="5"/>
  <c r="B231" i="5"/>
  <c r="X230" i="5"/>
  <c r="W230" i="5"/>
  <c r="C230" i="5"/>
  <c r="B230" i="5"/>
  <c r="X229" i="5"/>
  <c r="W229" i="5"/>
  <c r="C229" i="5"/>
  <c r="B229" i="5"/>
  <c r="X228" i="5"/>
  <c r="W228" i="5"/>
  <c r="C228" i="5"/>
  <c r="B228" i="5"/>
  <c r="X227" i="5"/>
  <c r="W227" i="5"/>
  <c r="C227" i="5"/>
  <c r="B227" i="5"/>
  <c r="X226" i="5"/>
  <c r="W226" i="5"/>
  <c r="C226" i="5"/>
  <c r="B226" i="5"/>
  <c r="X225" i="5"/>
  <c r="W225" i="5"/>
  <c r="C225" i="5"/>
  <c r="B225" i="5"/>
  <c r="G224" i="5"/>
  <c r="U212" i="5"/>
  <c r="T212" i="5"/>
  <c r="S212" i="5"/>
  <c r="R212" i="5"/>
  <c r="Q212" i="5"/>
  <c r="P212" i="5"/>
  <c r="O212" i="5"/>
  <c r="N212" i="5"/>
  <c r="M212" i="5"/>
  <c r="L212" i="5"/>
  <c r="K212" i="5"/>
  <c r="J212" i="5"/>
  <c r="I212" i="5"/>
  <c r="H212" i="5"/>
  <c r="G212" i="5"/>
  <c r="G207" i="5"/>
  <c r="G205" i="5"/>
  <c r="G194" i="5"/>
  <c r="U189" i="5"/>
  <c r="T189" i="5"/>
  <c r="S189" i="5"/>
  <c r="R189" i="5"/>
  <c r="P189" i="5"/>
  <c r="L189" i="5"/>
  <c r="K189" i="5"/>
  <c r="J189" i="5"/>
  <c r="I189" i="5"/>
  <c r="H189" i="5"/>
  <c r="G189" i="5"/>
  <c r="T187" i="5"/>
  <c r="S187" i="5"/>
  <c r="R187" i="5"/>
  <c r="Q187" i="5"/>
  <c r="P187" i="5"/>
  <c r="O187" i="5"/>
  <c r="N187" i="5"/>
  <c r="L187" i="5"/>
  <c r="H187" i="5"/>
  <c r="G187" i="5"/>
  <c r="U185" i="5"/>
  <c r="T185" i="5"/>
  <c r="S185" i="5"/>
  <c r="R185" i="5"/>
  <c r="Q185" i="5"/>
  <c r="P185" i="5"/>
  <c r="O185" i="5"/>
  <c r="N185" i="5"/>
  <c r="M185" i="5"/>
  <c r="L185" i="5"/>
  <c r="K185" i="5"/>
  <c r="J185" i="5"/>
  <c r="I185" i="5"/>
  <c r="H185" i="5"/>
  <c r="G185" i="5"/>
  <c r="U184" i="5"/>
  <c r="T184" i="5"/>
  <c r="S184" i="5"/>
  <c r="R184" i="5"/>
  <c r="Q184" i="5"/>
  <c r="P184" i="5"/>
  <c r="O184" i="5"/>
  <c r="N184" i="5"/>
  <c r="M184" i="5"/>
  <c r="L184" i="5"/>
  <c r="K184" i="5"/>
  <c r="J184" i="5"/>
  <c r="I184" i="5"/>
  <c r="H184" i="5"/>
  <c r="G184" i="5"/>
  <c r="G183" i="5"/>
  <c r="G179" i="5"/>
  <c r="B179" i="5"/>
  <c r="S177" i="5"/>
  <c r="T175" i="5"/>
  <c r="S175" i="5"/>
  <c r="R175" i="5"/>
  <c r="Q175" i="5"/>
  <c r="P175" i="5"/>
  <c r="O175" i="5"/>
  <c r="M175" i="5"/>
  <c r="H175" i="5"/>
  <c r="P173" i="5"/>
  <c r="O173" i="5"/>
  <c r="N173" i="5"/>
  <c r="M173" i="5"/>
  <c r="L173" i="5"/>
  <c r="K173" i="5"/>
  <c r="I173" i="5"/>
  <c r="U171" i="5"/>
  <c r="T171" i="5"/>
  <c r="S171" i="5"/>
  <c r="R171" i="5"/>
  <c r="Q171" i="5"/>
  <c r="P171" i="5"/>
  <c r="O171" i="5"/>
  <c r="N171" i="5"/>
  <c r="M171" i="5"/>
  <c r="L171" i="5"/>
  <c r="K171" i="5"/>
  <c r="J171" i="5"/>
  <c r="I171" i="5"/>
  <c r="H171" i="5"/>
  <c r="G171" i="5"/>
  <c r="U170" i="5"/>
  <c r="T170" i="5"/>
  <c r="S170" i="5"/>
  <c r="R170" i="5"/>
  <c r="Q170" i="5"/>
  <c r="P170" i="5"/>
  <c r="O170" i="5"/>
  <c r="N170" i="5"/>
  <c r="M170" i="5"/>
  <c r="L170" i="5"/>
  <c r="K170" i="5"/>
  <c r="J170" i="5"/>
  <c r="I170" i="5"/>
  <c r="H170" i="5"/>
  <c r="G170" i="5"/>
  <c r="G165" i="5"/>
  <c r="B165" i="5"/>
  <c r="P161" i="5"/>
  <c r="O161" i="5"/>
  <c r="N161" i="5"/>
  <c r="M161" i="5"/>
  <c r="L161" i="5"/>
  <c r="J161" i="5"/>
  <c r="T159" i="5"/>
  <c r="R159" i="5"/>
  <c r="L159" i="5"/>
  <c r="K159" i="5"/>
  <c r="J159" i="5"/>
  <c r="I159" i="5"/>
  <c r="H159" i="5"/>
  <c r="G151" i="5"/>
  <c r="B151" i="5"/>
  <c r="Q149" i="5"/>
  <c r="P149" i="5"/>
  <c r="O149" i="5"/>
  <c r="N149" i="5"/>
  <c r="M149" i="5"/>
  <c r="K149" i="5"/>
  <c r="G149" i="5"/>
  <c r="U147" i="5"/>
  <c r="S147" i="5"/>
  <c r="M147" i="5"/>
  <c r="L147" i="5"/>
  <c r="K147" i="5"/>
  <c r="J147" i="5"/>
  <c r="I147" i="5"/>
  <c r="G147" i="5"/>
  <c r="S146" i="5"/>
  <c r="R146" i="5"/>
  <c r="Q146" i="5"/>
  <c r="P146" i="5"/>
  <c r="O146" i="5"/>
  <c r="N146" i="5"/>
  <c r="M146" i="5"/>
  <c r="K146" i="5"/>
  <c r="G146" i="5"/>
  <c r="U145" i="5"/>
  <c r="T145" i="5"/>
  <c r="S145" i="5"/>
  <c r="R145" i="5"/>
  <c r="Q145" i="5"/>
  <c r="O145" i="5"/>
  <c r="I145" i="5"/>
  <c r="H145" i="5"/>
  <c r="G145" i="5"/>
  <c r="U144" i="5"/>
  <c r="S144" i="5"/>
  <c r="O144" i="5"/>
  <c r="N144" i="5"/>
  <c r="M144" i="5"/>
  <c r="L144" i="5"/>
  <c r="K144" i="5"/>
  <c r="J144" i="5"/>
  <c r="I144" i="5"/>
  <c r="G144" i="5"/>
  <c r="G137" i="5"/>
  <c r="B137" i="5"/>
  <c r="L135" i="5"/>
  <c r="K135" i="5"/>
  <c r="J135" i="5"/>
  <c r="U133" i="5"/>
  <c r="T133" i="5"/>
  <c r="R133" i="5"/>
  <c r="I133" i="5"/>
  <c r="H133" i="5"/>
  <c r="G133" i="5"/>
  <c r="T131" i="5"/>
  <c r="S131" i="5"/>
  <c r="R131" i="5"/>
  <c r="Q131" i="5"/>
  <c r="P131" i="5"/>
  <c r="N131" i="5"/>
  <c r="T130" i="5"/>
  <c r="S130" i="5"/>
  <c r="G127" i="5"/>
  <c r="H123" i="5"/>
  <c r="G123" i="5"/>
  <c r="B123" i="5"/>
  <c r="G122" i="5"/>
  <c r="G118" i="5"/>
  <c r="H117" i="5"/>
  <c r="G117" i="5"/>
  <c r="G116" i="5"/>
  <c r="G115" i="5"/>
  <c r="G119" i="5" s="1"/>
  <c r="G120" i="5" s="1"/>
  <c r="H114" i="5"/>
  <c r="N111" i="5"/>
  <c r="M111" i="5"/>
  <c r="L111" i="5"/>
  <c r="K111" i="5"/>
  <c r="J111" i="5"/>
  <c r="I111" i="5"/>
  <c r="H111" i="5"/>
  <c r="G111" i="5"/>
  <c r="N110" i="5"/>
  <c r="M110" i="5"/>
  <c r="L110" i="5"/>
  <c r="K110" i="5"/>
  <c r="J110" i="5"/>
  <c r="I110" i="5"/>
  <c r="H110" i="5"/>
  <c r="G110" i="5"/>
  <c r="N107" i="5"/>
  <c r="L107" i="5"/>
  <c r="G107" i="5"/>
  <c r="N104" i="5"/>
  <c r="M104" i="5"/>
  <c r="M107" i="5" s="1"/>
  <c r="L104" i="5"/>
  <c r="K104" i="5"/>
  <c r="K107" i="5" s="1"/>
  <c r="J104" i="5"/>
  <c r="J107" i="5" s="1"/>
  <c r="I104" i="5"/>
  <c r="I107" i="5" s="1"/>
  <c r="H104" i="5"/>
  <c r="H107" i="5" s="1"/>
  <c r="G104" i="5"/>
  <c r="K96" i="5"/>
  <c r="J96" i="5"/>
  <c r="K93" i="5"/>
  <c r="J93" i="5"/>
  <c r="I93" i="5"/>
  <c r="H93" i="5"/>
  <c r="G93" i="5"/>
  <c r="K92" i="5"/>
  <c r="J92" i="5"/>
  <c r="I92" i="5"/>
  <c r="H92" i="5"/>
  <c r="G92" i="5"/>
  <c r="K91" i="5"/>
  <c r="J91" i="5"/>
  <c r="I91" i="5"/>
  <c r="H91" i="5"/>
  <c r="G91" i="5"/>
  <c r="K90" i="5"/>
  <c r="J90" i="5"/>
  <c r="I90" i="5"/>
  <c r="H90" i="5"/>
  <c r="G90" i="5"/>
  <c r="K89" i="5"/>
  <c r="Q189" i="5" s="1"/>
  <c r="J89" i="5"/>
  <c r="U173" i="5" s="1"/>
  <c r="I89" i="5"/>
  <c r="Q161" i="5" s="1"/>
  <c r="H89" i="5"/>
  <c r="G89" i="5"/>
  <c r="K88" i="5"/>
  <c r="O188" i="5" s="1"/>
  <c r="J88" i="5"/>
  <c r="Q174" i="5" s="1"/>
  <c r="I88" i="5"/>
  <c r="G160" i="5" s="1"/>
  <c r="H88" i="5"/>
  <c r="L149" i="5" s="1"/>
  <c r="G88" i="5"/>
  <c r="U215" i="5" s="1"/>
  <c r="K83" i="5"/>
  <c r="J83" i="5"/>
  <c r="I83" i="5"/>
  <c r="H83" i="5"/>
  <c r="K80" i="5"/>
  <c r="J80" i="5"/>
  <c r="I80" i="5"/>
  <c r="H80" i="5"/>
  <c r="G64" i="5"/>
  <c r="F64" i="5"/>
  <c r="F63" i="5"/>
  <c r="D63" i="5"/>
  <c r="G63" i="5" s="1"/>
  <c r="C63" i="5"/>
  <c r="D62" i="5"/>
  <c r="G62" i="5" s="1"/>
  <c r="C62" i="5"/>
  <c r="F62" i="5" s="1"/>
  <c r="D61" i="5"/>
  <c r="C61" i="5"/>
  <c r="F60" i="5"/>
  <c r="D60" i="5"/>
  <c r="G60" i="5" s="1"/>
  <c r="C60" i="5"/>
  <c r="F56" i="5"/>
  <c r="F55" i="5"/>
  <c r="F54" i="5"/>
  <c r="F52" i="5"/>
  <c r="F49" i="5"/>
  <c r="F47" i="5"/>
  <c r="F37" i="5"/>
  <c r="G39" i="5" s="1"/>
  <c r="F34" i="5"/>
  <c r="F36" i="5" s="1"/>
  <c r="F33" i="5"/>
  <c r="F32" i="5"/>
  <c r="F31" i="5"/>
  <c r="F30" i="5"/>
  <c r="F29" i="5"/>
  <c r="F27" i="5"/>
  <c r="F23" i="5"/>
  <c r="F25" i="5" s="1"/>
  <c r="G19" i="5"/>
  <c r="F19" i="5"/>
  <c r="G22" i="5" s="1"/>
  <c r="O18" i="4"/>
  <c r="L18" i="4"/>
  <c r="F18" i="4"/>
  <c r="E18" i="4"/>
  <c r="N18" i="4" s="1"/>
  <c r="P18" i="4" s="1"/>
  <c r="Q18" i="4" s="1"/>
  <c r="D18" i="4"/>
  <c r="C18" i="4"/>
  <c r="P17" i="4"/>
  <c r="Q17" i="4" s="1"/>
  <c r="O17" i="4"/>
  <c r="L17" i="4"/>
  <c r="F17" i="4"/>
  <c r="E17" i="4"/>
  <c r="D17" i="4"/>
  <c r="N17" i="4" s="1"/>
  <c r="C17" i="4"/>
  <c r="L16" i="4"/>
  <c r="I16" i="4"/>
  <c r="F16" i="4"/>
  <c r="E16" i="4"/>
  <c r="D16" i="4"/>
  <c r="C16" i="4"/>
  <c r="F15" i="4"/>
  <c r="E15" i="4"/>
  <c r="D15" i="4"/>
  <c r="C15" i="4"/>
  <c r="L14" i="4"/>
  <c r="F14" i="4"/>
  <c r="E14" i="4"/>
  <c r="D14" i="4"/>
  <c r="C14" i="4"/>
  <c r="N14" i="4" s="1"/>
  <c r="O13" i="4"/>
  <c r="P13" i="4" s="1"/>
  <c r="Q13" i="4" s="1"/>
  <c r="N13" i="4"/>
  <c r="L13" i="4"/>
  <c r="F13" i="4"/>
  <c r="E13" i="4"/>
  <c r="D13" i="4"/>
  <c r="C13" i="4"/>
  <c r="M12" i="4"/>
  <c r="F12" i="4"/>
  <c r="E12" i="4"/>
  <c r="D12" i="4"/>
  <c r="C12" i="4"/>
  <c r="M11" i="4"/>
  <c r="F11" i="4"/>
  <c r="E11" i="4"/>
  <c r="D11" i="4"/>
  <c r="C11" i="4"/>
  <c r="L10" i="4"/>
  <c r="F10" i="4"/>
  <c r="E10" i="4"/>
  <c r="D10" i="4"/>
  <c r="C10" i="4"/>
  <c r="N10" i="4" s="1"/>
  <c r="P9" i="4"/>
  <c r="Q9" i="4" s="1"/>
  <c r="O9" i="4"/>
  <c r="M9" i="4"/>
  <c r="F9" i="4"/>
  <c r="E9" i="4"/>
  <c r="D9" i="4"/>
  <c r="N9" i="4" s="1"/>
  <c r="C9" i="4"/>
  <c r="M8" i="4"/>
  <c r="O8" i="4" s="1"/>
  <c r="F8" i="4"/>
  <c r="E8" i="4"/>
  <c r="N8" i="4" s="1"/>
  <c r="D8" i="4"/>
  <c r="C8" i="4"/>
  <c r="M7" i="4"/>
  <c r="F7" i="4"/>
  <c r="E7" i="4"/>
  <c r="D7" i="4"/>
  <c r="C7" i="4"/>
  <c r="M6" i="4"/>
  <c r="O6" i="4" s="1"/>
  <c r="F6" i="4"/>
  <c r="E6" i="4"/>
  <c r="C6" i="4"/>
  <c r="O5" i="4"/>
  <c r="M5" i="4"/>
  <c r="F5" i="4"/>
  <c r="C5" i="4"/>
  <c r="I7" i="3"/>
  <c r="H7" i="3"/>
  <c r="G7" i="3"/>
  <c r="F7" i="3"/>
  <c r="E7" i="3"/>
  <c r="D7" i="3"/>
  <c r="C7" i="3"/>
  <c r="I6" i="3"/>
  <c r="H6" i="3"/>
  <c r="G6" i="3"/>
  <c r="F6" i="3"/>
  <c r="E6" i="3"/>
  <c r="D6" i="3"/>
  <c r="C6" i="3"/>
  <c r="I5" i="3"/>
  <c r="H5" i="3"/>
  <c r="G5" i="3"/>
  <c r="F5" i="3"/>
  <c r="E5" i="3"/>
  <c r="D5" i="3"/>
  <c r="C5" i="3"/>
  <c r="G134" i="5" l="1"/>
  <c r="D30" i="13"/>
  <c r="F30" i="13" s="1"/>
  <c r="P8" i="4"/>
  <c r="Q8" i="4" s="1"/>
  <c r="H155" i="5"/>
  <c r="H227" i="5"/>
  <c r="H141" i="5"/>
  <c r="H169" i="5"/>
  <c r="H228" i="5"/>
  <c r="H183" i="5"/>
  <c r="S216" i="5"/>
  <c r="O12" i="4"/>
  <c r="N12" i="4"/>
  <c r="P12" i="4" s="1"/>
  <c r="Q12" i="4" s="1"/>
  <c r="P191" i="5"/>
  <c r="U216" i="5"/>
  <c r="Q146" i="8"/>
  <c r="M144" i="8"/>
  <c r="P146" i="8"/>
  <c r="L144" i="8"/>
  <c r="O146" i="8"/>
  <c r="K144" i="8"/>
  <c r="N146" i="8"/>
  <c r="J144" i="8"/>
  <c r="J146" i="8"/>
  <c r="H144" i="8"/>
  <c r="I146" i="8"/>
  <c r="G144" i="8"/>
  <c r="H146" i="8"/>
  <c r="G146" i="8"/>
  <c r="U144" i="8"/>
  <c r="G149" i="8"/>
  <c r="L146" i="8"/>
  <c r="H96" i="8"/>
  <c r="S144" i="8"/>
  <c r="R144" i="8"/>
  <c r="Q144" i="8"/>
  <c r="K146" i="8"/>
  <c r="P144" i="8"/>
  <c r="N144" i="8"/>
  <c r="O216" i="8"/>
  <c r="I144" i="8"/>
  <c r="G215" i="8"/>
  <c r="N216" i="8"/>
  <c r="F22" i="5"/>
  <c r="F39" i="5"/>
  <c r="G121" i="5" s="1"/>
  <c r="I186" i="5"/>
  <c r="H127" i="5"/>
  <c r="F39" i="6"/>
  <c r="O144" i="8"/>
  <c r="T144" i="8"/>
  <c r="O7" i="4"/>
  <c r="N7" i="4"/>
  <c r="P7" i="4" s="1"/>
  <c r="Q7" i="4" s="1"/>
  <c r="G172" i="5"/>
  <c r="K174" i="5"/>
  <c r="H172" i="5"/>
  <c r="L174" i="5"/>
  <c r="N188" i="5"/>
  <c r="S215" i="5"/>
  <c r="I83" i="7"/>
  <c r="H83" i="7"/>
  <c r="G83" i="7"/>
  <c r="D51" i="13" s="1"/>
  <c r="F51" i="13" s="1"/>
  <c r="G148" i="7"/>
  <c r="H162" i="7"/>
  <c r="G162" i="7"/>
  <c r="H134" i="7"/>
  <c r="H176" i="7"/>
  <c r="G176" i="7"/>
  <c r="H231" i="7"/>
  <c r="T146" i="8"/>
  <c r="N215" i="8"/>
  <c r="G171" i="9"/>
  <c r="G22" i="10"/>
  <c r="F22" i="10"/>
  <c r="J160" i="5"/>
  <c r="P237" i="6"/>
  <c r="R149" i="6"/>
  <c r="R146" i="6"/>
  <c r="N144" i="6"/>
  <c r="Q149" i="6"/>
  <c r="Q146" i="6"/>
  <c r="M144" i="6"/>
  <c r="O149" i="6"/>
  <c r="O237" i="6" s="1"/>
  <c r="O146" i="6"/>
  <c r="K144" i="6"/>
  <c r="M149" i="6"/>
  <c r="M146" i="6"/>
  <c r="O144" i="6"/>
  <c r="K149" i="6"/>
  <c r="K146" i="6"/>
  <c r="J144" i="6"/>
  <c r="J149" i="6"/>
  <c r="J146" i="6"/>
  <c r="I144" i="6"/>
  <c r="G149" i="6"/>
  <c r="G237" i="6" s="1"/>
  <c r="L146" i="6"/>
  <c r="U144" i="6"/>
  <c r="H146" i="6"/>
  <c r="S144" i="6"/>
  <c r="G146" i="6"/>
  <c r="R144" i="6"/>
  <c r="U149" i="6"/>
  <c r="Q144" i="6"/>
  <c r="L149" i="6"/>
  <c r="I149" i="6"/>
  <c r="H96" i="6"/>
  <c r="F14" i="6" s="1"/>
  <c r="D16" i="3" s="1"/>
  <c r="H149" i="6"/>
  <c r="U146" i="6"/>
  <c r="H144" i="6"/>
  <c r="T146" i="6"/>
  <c r="T144" i="6"/>
  <c r="P146" i="6"/>
  <c r="S146" i="6"/>
  <c r="P144" i="6"/>
  <c r="L144" i="6"/>
  <c r="N146" i="6"/>
  <c r="I242" i="9"/>
  <c r="I194" i="9"/>
  <c r="I234" i="9"/>
  <c r="I205" i="9"/>
  <c r="I165" i="9"/>
  <c r="I224" i="9"/>
  <c r="I137" i="9"/>
  <c r="I116" i="9"/>
  <c r="I117" i="9"/>
  <c r="I179" i="9"/>
  <c r="I151" i="9"/>
  <c r="I123" i="9"/>
  <c r="I115" i="9"/>
  <c r="I119" i="9" s="1"/>
  <c r="J114" i="9"/>
  <c r="G61" i="6"/>
  <c r="F61" i="6"/>
  <c r="F65" i="6" s="1"/>
  <c r="I146" i="6"/>
  <c r="J186" i="5"/>
  <c r="R163" i="5"/>
  <c r="J174" i="5"/>
  <c r="K186" i="5"/>
  <c r="L188" i="5"/>
  <c r="H209" i="5"/>
  <c r="H209" i="7"/>
  <c r="G209" i="7"/>
  <c r="R146" i="8"/>
  <c r="O10" i="4"/>
  <c r="L186" i="5"/>
  <c r="M188" i="5"/>
  <c r="F22" i="6"/>
  <c r="G155" i="6" s="1"/>
  <c r="S146" i="8"/>
  <c r="M215" i="8"/>
  <c r="G190" i="5"/>
  <c r="J130" i="5"/>
  <c r="N132" i="5"/>
  <c r="I172" i="5"/>
  <c r="M174" i="5"/>
  <c r="T215" i="5"/>
  <c r="H226" i="5"/>
  <c r="U146" i="8"/>
  <c r="O215" i="8"/>
  <c r="H210" i="7"/>
  <c r="P10" i="4"/>
  <c r="Q10" i="4" s="1"/>
  <c r="J163" i="5"/>
  <c r="T177" i="5"/>
  <c r="T216" i="5"/>
  <c r="U191" i="5"/>
  <c r="I191" i="5"/>
  <c r="U188" i="5"/>
  <c r="I188" i="5"/>
  <c r="Q186" i="5"/>
  <c r="S191" i="5"/>
  <c r="G191" i="5"/>
  <c r="S188" i="5"/>
  <c r="G188" i="5"/>
  <c r="O186" i="5"/>
  <c r="R191" i="5"/>
  <c r="R188" i="5"/>
  <c r="N186" i="5"/>
  <c r="Q191" i="5"/>
  <c r="Q188" i="5"/>
  <c r="M186" i="5"/>
  <c r="O191" i="5"/>
  <c r="K188" i="5"/>
  <c r="G186" i="5"/>
  <c r="N191" i="5"/>
  <c r="J188" i="5"/>
  <c r="M191" i="5"/>
  <c r="H188" i="5"/>
  <c r="U186" i="5"/>
  <c r="L191" i="5"/>
  <c r="T186" i="5"/>
  <c r="P186" i="5"/>
  <c r="K191" i="5"/>
  <c r="S186" i="5"/>
  <c r="J191" i="5"/>
  <c r="R186" i="5"/>
  <c r="H191" i="5"/>
  <c r="T188" i="5"/>
  <c r="N163" i="5"/>
  <c r="H186" i="5"/>
  <c r="P163" i="5"/>
  <c r="T191" i="5"/>
  <c r="H219" i="5"/>
  <c r="H221" i="5" s="1"/>
  <c r="Q163" i="5"/>
  <c r="M146" i="8"/>
  <c r="G215" i="5"/>
  <c r="H242" i="5"/>
  <c r="H224" i="5"/>
  <c r="H116" i="5"/>
  <c r="H115" i="5"/>
  <c r="H137" i="5"/>
  <c r="H151" i="5"/>
  <c r="H118" i="5"/>
  <c r="H165" i="5"/>
  <c r="H234" i="5"/>
  <c r="I114" i="5"/>
  <c r="H179" i="5"/>
  <c r="L130" i="5"/>
  <c r="P132" i="5"/>
  <c r="M172" i="5"/>
  <c r="P188" i="5"/>
  <c r="H205" i="5"/>
  <c r="K189" i="6"/>
  <c r="S187" i="6"/>
  <c r="G187" i="6"/>
  <c r="J189" i="6"/>
  <c r="R187" i="6"/>
  <c r="U189" i="6"/>
  <c r="I189" i="6"/>
  <c r="Q187" i="6"/>
  <c r="T189" i="6"/>
  <c r="H189" i="6"/>
  <c r="P187" i="6"/>
  <c r="R189" i="6"/>
  <c r="N187" i="6"/>
  <c r="P189" i="6"/>
  <c r="L187" i="6"/>
  <c r="O189" i="6"/>
  <c r="K187" i="6"/>
  <c r="G189" i="6"/>
  <c r="T187" i="6"/>
  <c r="M187" i="6"/>
  <c r="J187" i="6"/>
  <c r="I187" i="6"/>
  <c r="O187" i="6"/>
  <c r="P191" i="6"/>
  <c r="H187" i="6"/>
  <c r="S189" i="6"/>
  <c r="U187" i="6"/>
  <c r="Q189" i="6"/>
  <c r="N189" i="6"/>
  <c r="G207" i="6"/>
  <c r="G210" i="6" s="1"/>
  <c r="G231" i="6"/>
  <c r="G228" i="6"/>
  <c r="G225" i="6"/>
  <c r="G183" i="6"/>
  <c r="G190" i="6" s="1"/>
  <c r="G120" i="6"/>
  <c r="G169" i="6" s="1"/>
  <c r="G209" i="6"/>
  <c r="G234" i="6"/>
  <c r="G232" i="6"/>
  <c r="G227" i="6"/>
  <c r="G226" i="6"/>
  <c r="G229" i="6"/>
  <c r="G219" i="6"/>
  <c r="G221" i="6" s="1"/>
  <c r="G141" i="6"/>
  <c r="G127" i="6"/>
  <c r="G134" i="6" s="1"/>
  <c r="G121" i="6"/>
  <c r="G230" i="6"/>
  <c r="N149" i="6"/>
  <c r="G191" i="6"/>
  <c r="P215" i="8"/>
  <c r="O163" i="5"/>
  <c r="O160" i="5"/>
  <c r="K158" i="5"/>
  <c r="M163" i="5"/>
  <c r="M160" i="5"/>
  <c r="U158" i="5"/>
  <c r="I158" i="5"/>
  <c r="L163" i="5"/>
  <c r="L160" i="5"/>
  <c r="T158" i="5"/>
  <c r="H158" i="5"/>
  <c r="K163" i="5"/>
  <c r="K237" i="5" s="1"/>
  <c r="K160" i="5"/>
  <c r="S158" i="5"/>
  <c r="G158" i="5"/>
  <c r="I163" i="5"/>
  <c r="U160" i="5"/>
  <c r="Q158" i="5"/>
  <c r="H163" i="5"/>
  <c r="T160" i="5"/>
  <c r="P158" i="5"/>
  <c r="G163" i="5"/>
  <c r="S160" i="5"/>
  <c r="O158" i="5"/>
  <c r="I96" i="5"/>
  <c r="R160" i="5"/>
  <c r="N158" i="5"/>
  <c r="T163" i="5"/>
  <c r="P160" i="5"/>
  <c r="L158" i="5"/>
  <c r="J158" i="5"/>
  <c r="U163" i="5"/>
  <c r="Q160" i="5"/>
  <c r="M158" i="5"/>
  <c r="S163" i="5"/>
  <c r="N160" i="5"/>
  <c r="F65" i="5"/>
  <c r="R177" i="5"/>
  <c r="R174" i="5"/>
  <c r="N172" i="5"/>
  <c r="P177" i="5"/>
  <c r="P174" i="5"/>
  <c r="L172" i="5"/>
  <c r="O177" i="5"/>
  <c r="O174" i="5"/>
  <c r="K172" i="5"/>
  <c r="N177" i="5"/>
  <c r="N174" i="5"/>
  <c r="J172" i="5"/>
  <c r="M177" i="5"/>
  <c r="I174" i="5"/>
  <c r="U172" i="5"/>
  <c r="L177" i="5"/>
  <c r="H174" i="5"/>
  <c r="T172" i="5"/>
  <c r="K177" i="5"/>
  <c r="G174" i="5"/>
  <c r="S172" i="5"/>
  <c r="G177" i="5"/>
  <c r="J177" i="5"/>
  <c r="J237" i="5" s="1"/>
  <c r="R172" i="5"/>
  <c r="T174" i="5"/>
  <c r="S174" i="5"/>
  <c r="I177" i="5"/>
  <c r="U174" i="5"/>
  <c r="Q172" i="5"/>
  <c r="H177" i="5"/>
  <c r="P172" i="5"/>
  <c r="O172" i="5"/>
  <c r="L237" i="5"/>
  <c r="U177" i="5"/>
  <c r="H207" i="5"/>
  <c r="G61" i="5"/>
  <c r="F61" i="5"/>
  <c r="N15" i="4"/>
  <c r="I15" i="4"/>
  <c r="L15" i="4" s="1"/>
  <c r="O15" i="4"/>
  <c r="N216" i="5"/>
  <c r="R215" i="5"/>
  <c r="U135" i="5"/>
  <c r="I135" i="5"/>
  <c r="I237" i="5" s="1"/>
  <c r="U132" i="5"/>
  <c r="I132" i="5"/>
  <c r="Q130" i="5"/>
  <c r="L216" i="5"/>
  <c r="P215" i="5"/>
  <c r="S135" i="5"/>
  <c r="G135" i="5"/>
  <c r="S132" i="5"/>
  <c r="G132" i="5"/>
  <c r="O130" i="5"/>
  <c r="K216" i="5"/>
  <c r="O215" i="5"/>
  <c r="R135" i="5"/>
  <c r="R132" i="5"/>
  <c r="N130" i="5"/>
  <c r="J216" i="5"/>
  <c r="N215" i="5"/>
  <c r="Q135" i="5"/>
  <c r="Q132" i="5"/>
  <c r="M130" i="5"/>
  <c r="R216" i="5"/>
  <c r="Q215" i="5"/>
  <c r="O132" i="5"/>
  <c r="K130" i="5"/>
  <c r="Q216" i="5"/>
  <c r="M215" i="5"/>
  <c r="P216" i="5"/>
  <c r="L215" i="5"/>
  <c r="T135" i="5"/>
  <c r="M132" i="5"/>
  <c r="I130" i="5"/>
  <c r="N135" i="5"/>
  <c r="J132" i="5"/>
  <c r="O216" i="5"/>
  <c r="K215" i="5"/>
  <c r="P135" i="5"/>
  <c r="L132" i="5"/>
  <c r="H130" i="5"/>
  <c r="I216" i="5"/>
  <c r="H215" i="5"/>
  <c r="U130" i="5"/>
  <c r="M216" i="5"/>
  <c r="J215" i="5"/>
  <c r="O135" i="5"/>
  <c r="K132" i="5"/>
  <c r="G130" i="5"/>
  <c r="G96" i="5"/>
  <c r="I215" i="5"/>
  <c r="H216" i="5"/>
  <c r="M135" i="5"/>
  <c r="H132" i="5"/>
  <c r="P130" i="5"/>
  <c r="T132" i="5"/>
  <c r="H160" i="5"/>
  <c r="H207" i="6"/>
  <c r="H210" i="6" s="1"/>
  <c r="H225" i="6"/>
  <c r="H183" i="6"/>
  <c r="H227" i="6"/>
  <c r="H212" i="6"/>
  <c r="H141" i="6"/>
  <c r="H226" i="6"/>
  <c r="H127" i="6"/>
  <c r="H121" i="6"/>
  <c r="H219" i="6"/>
  <c r="H221" i="6" s="1"/>
  <c r="P149" i="6"/>
  <c r="L216" i="8"/>
  <c r="R130" i="5"/>
  <c r="H135" i="5"/>
  <c r="R158" i="5"/>
  <c r="I160" i="5"/>
  <c r="Q177" i="5"/>
  <c r="H194" i="5"/>
  <c r="G216" i="5"/>
  <c r="H225" i="5"/>
  <c r="H151" i="6"/>
  <c r="H123" i="6"/>
  <c r="H234" i="6"/>
  <c r="H115" i="6"/>
  <c r="H205" i="6"/>
  <c r="H165" i="6"/>
  <c r="H137" i="6"/>
  <c r="H242" i="6"/>
  <c r="H194" i="6"/>
  <c r="I114" i="6"/>
  <c r="H116" i="6"/>
  <c r="H224" i="6"/>
  <c r="H179" i="6"/>
  <c r="S149" i="6"/>
  <c r="O216" i="6"/>
  <c r="Q133" i="5"/>
  <c r="M131" i="5"/>
  <c r="O133" i="5"/>
  <c r="K131" i="5"/>
  <c r="N133" i="5"/>
  <c r="J131" i="5"/>
  <c r="M133" i="5"/>
  <c r="U131" i="5"/>
  <c r="I131" i="5"/>
  <c r="J133" i="5"/>
  <c r="R163" i="7"/>
  <c r="Q163" i="7"/>
  <c r="P163" i="7"/>
  <c r="O163" i="7"/>
  <c r="I163" i="7"/>
  <c r="H163" i="7"/>
  <c r="I96" i="7"/>
  <c r="G163" i="7"/>
  <c r="K163" i="7"/>
  <c r="G160" i="7"/>
  <c r="T163" i="7"/>
  <c r="H160" i="7"/>
  <c r="N163" i="7"/>
  <c r="M163" i="7"/>
  <c r="L163" i="7"/>
  <c r="T147" i="5"/>
  <c r="H147" i="5"/>
  <c r="P145" i="5"/>
  <c r="R147" i="5"/>
  <c r="N145" i="5"/>
  <c r="Q147" i="5"/>
  <c r="M145" i="5"/>
  <c r="P147" i="5"/>
  <c r="L145" i="5"/>
  <c r="G131" i="5"/>
  <c r="K133" i="5"/>
  <c r="J145" i="5"/>
  <c r="N147" i="5"/>
  <c r="R149" i="5"/>
  <c r="M159" i="5"/>
  <c r="Q173" i="5"/>
  <c r="U175" i="5"/>
  <c r="G228" i="5"/>
  <c r="J161" i="6"/>
  <c r="O149" i="7"/>
  <c r="O146" i="7"/>
  <c r="K144" i="7"/>
  <c r="N149" i="7"/>
  <c r="N146" i="7"/>
  <c r="J144" i="7"/>
  <c r="M149" i="7"/>
  <c r="M146" i="7"/>
  <c r="U144" i="7"/>
  <c r="I144" i="7"/>
  <c r="L149" i="7"/>
  <c r="L146" i="7"/>
  <c r="T144" i="7"/>
  <c r="H144" i="7"/>
  <c r="G149" i="7"/>
  <c r="G237" i="7" s="1"/>
  <c r="S146" i="7"/>
  <c r="O144" i="7"/>
  <c r="R146" i="7"/>
  <c r="N144" i="7"/>
  <c r="U149" i="7"/>
  <c r="Q146" i="7"/>
  <c r="M144" i="7"/>
  <c r="H96" i="7"/>
  <c r="T149" i="7"/>
  <c r="P146" i="7"/>
  <c r="L144" i="7"/>
  <c r="U146" i="7"/>
  <c r="T146" i="7"/>
  <c r="S149" i="7"/>
  <c r="K146" i="7"/>
  <c r="S144" i="7"/>
  <c r="Q149" i="7"/>
  <c r="P149" i="7"/>
  <c r="K149" i="7"/>
  <c r="G237" i="9"/>
  <c r="O11" i="4"/>
  <c r="N11" i="4"/>
  <c r="O16" i="4"/>
  <c r="N16" i="4"/>
  <c r="P16" i="4" s="1"/>
  <c r="Q16" i="4" s="1"/>
  <c r="K161" i="5"/>
  <c r="S159" i="5"/>
  <c r="G159" i="5"/>
  <c r="U161" i="5"/>
  <c r="I161" i="5"/>
  <c r="Q159" i="5"/>
  <c r="T161" i="5"/>
  <c r="H161" i="5"/>
  <c r="P159" i="5"/>
  <c r="S161" i="5"/>
  <c r="G161" i="5"/>
  <c r="O159" i="5"/>
  <c r="H96" i="5"/>
  <c r="H131" i="5"/>
  <c r="L133" i="5"/>
  <c r="K145" i="5"/>
  <c r="O147" i="5"/>
  <c r="S149" i="5"/>
  <c r="N159" i="5"/>
  <c r="R161" i="5"/>
  <c r="G169" i="5"/>
  <c r="G176" i="5" s="1"/>
  <c r="F62" i="6"/>
  <c r="L161" i="6"/>
  <c r="I216" i="7"/>
  <c r="D63" i="13"/>
  <c r="F63" i="13" s="1"/>
  <c r="G142" i="8"/>
  <c r="H118" i="8"/>
  <c r="U163" i="6"/>
  <c r="I163" i="6"/>
  <c r="T163" i="6"/>
  <c r="T237" i="6" s="1"/>
  <c r="H163" i="6"/>
  <c r="S163" i="6"/>
  <c r="G163" i="6"/>
  <c r="R163" i="6"/>
  <c r="M163" i="6"/>
  <c r="K163" i="6"/>
  <c r="J163" i="6"/>
  <c r="J237" i="6" s="1"/>
  <c r="I96" i="6"/>
  <c r="P163" i="6"/>
  <c r="O163" i="6"/>
  <c r="N163" i="6"/>
  <c r="L177" i="6"/>
  <c r="K177" i="6"/>
  <c r="J177" i="6"/>
  <c r="U177" i="6"/>
  <c r="I177" i="6"/>
  <c r="P177" i="6"/>
  <c r="N177" i="6"/>
  <c r="M177" i="6"/>
  <c r="J96" i="6"/>
  <c r="H177" i="6"/>
  <c r="N175" i="5"/>
  <c r="J173" i="5"/>
  <c r="L175" i="5"/>
  <c r="T173" i="5"/>
  <c r="H173" i="5"/>
  <c r="K175" i="5"/>
  <c r="S173" i="5"/>
  <c r="G173" i="5"/>
  <c r="J175" i="5"/>
  <c r="R173" i="5"/>
  <c r="G232" i="5"/>
  <c r="G229" i="5"/>
  <c r="G226" i="5"/>
  <c r="G141" i="5"/>
  <c r="G148" i="5" s="1"/>
  <c r="G234" i="5"/>
  <c r="G219" i="5"/>
  <c r="G209" i="5"/>
  <c r="G210" i="5" s="1"/>
  <c r="G155" i="5"/>
  <c r="G162" i="5" s="1"/>
  <c r="G230" i="5"/>
  <c r="G227" i="5"/>
  <c r="L131" i="5"/>
  <c r="P133" i="5"/>
  <c r="G175" i="5"/>
  <c r="I159" i="6"/>
  <c r="L163" i="6"/>
  <c r="O177" i="6"/>
  <c r="J216" i="7"/>
  <c r="Q161" i="6"/>
  <c r="M159" i="6"/>
  <c r="P161" i="6"/>
  <c r="L159" i="6"/>
  <c r="N161" i="6"/>
  <c r="J159" i="6"/>
  <c r="K161" i="6"/>
  <c r="K159" i="6"/>
  <c r="I161" i="6"/>
  <c r="H159" i="6"/>
  <c r="H161" i="6"/>
  <c r="G159" i="6"/>
  <c r="G161" i="6"/>
  <c r="R159" i="6"/>
  <c r="P159" i="6"/>
  <c r="O159" i="6"/>
  <c r="U161" i="6"/>
  <c r="N159" i="6"/>
  <c r="Q159" i="6"/>
  <c r="O161" i="6"/>
  <c r="Q163" i="6"/>
  <c r="G146" i="7"/>
  <c r="R216" i="7"/>
  <c r="G162" i="8"/>
  <c r="O14" i="4"/>
  <c r="P14" i="4" s="1"/>
  <c r="Q14" i="4" s="1"/>
  <c r="O131" i="5"/>
  <c r="S133" i="5"/>
  <c r="U159" i="5"/>
  <c r="I175" i="5"/>
  <c r="G225" i="5"/>
  <c r="S159" i="6"/>
  <c r="R161" i="6"/>
  <c r="R177" i="6"/>
  <c r="G144" i="7"/>
  <c r="H146" i="7"/>
  <c r="T216" i="7"/>
  <c r="G190" i="8"/>
  <c r="K216" i="11"/>
  <c r="U216" i="11"/>
  <c r="I216" i="11"/>
  <c r="T216" i="11"/>
  <c r="H216" i="11"/>
  <c r="S216" i="11"/>
  <c r="P216" i="11"/>
  <c r="N216" i="11"/>
  <c r="S135" i="11"/>
  <c r="G135" i="11"/>
  <c r="S132" i="11"/>
  <c r="G132" i="11"/>
  <c r="O130" i="11"/>
  <c r="M216" i="11"/>
  <c r="O135" i="11"/>
  <c r="K132" i="11"/>
  <c r="Q130" i="11"/>
  <c r="Q216" i="11"/>
  <c r="M135" i="11"/>
  <c r="I132" i="11"/>
  <c r="N130" i="11"/>
  <c r="O216" i="11"/>
  <c r="L216" i="11"/>
  <c r="K135" i="11"/>
  <c r="T132" i="11"/>
  <c r="L130" i="11"/>
  <c r="R135" i="11"/>
  <c r="N132" i="11"/>
  <c r="J130" i="11"/>
  <c r="Q135" i="11"/>
  <c r="M132" i="11"/>
  <c r="I130" i="11"/>
  <c r="G96" i="11"/>
  <c r="R216" i="11"/>
  <c r="P135" i="11"/>
  <c r="L132" i="11"/>
  <c r="H130" i="11"/>
  <c r="J216" i="11"/>
  <c r="N135" i="11"/>
  <c r="J132" i="11"/>
  <c r="G130" i="11"/>
  <c r="J135" i="11"/>
  <c r="P130" i="11"/>
  <c r="I135" i="11"/>
  <c r="M130" i="11"/>
  <c r="H135" i="11"/>
  <c r="K130" i="11"/>
  <c r="G216" i="11"/>
  <c r="P132" i="11"/>
  <c r="T130" i="11"/>
  <c r="O132" i="11"/>
  <c r="S130" i="11"/>
  <c r="H132" i="11"/>
  <c r="R130" i="11"/>
  <c r="R132" i="11"/>
  <c r="U135" i="11"/>
  <c r="T135" i="11"/>
  <c r="L135" i="11"/>
  <c r="U130" i="11"/>
  <c r="U132" i="11"/>
  <c r="Q132" i="11"/>
  <c r="P144" i="5"/>
  <c r="H146" i="5"/>
  <c r="T146" i="5"/>
  <c r="H149" i="5"/>
  <c r="T149" i="5"/>
  <c r="I187" i="5"/>
  <c r="U187" i="5"/>
  <c r="M189" i="5"/>
  <c r="O191" i="6"/>
  <c r="O188" i="6"/>
  <c r="K186" i="6"/>
  <c r="N191" i="6"/>
  <c r="N188" i="6"/>
  <c r="J186" i="6"/>
  <c r="M191" i="6"/>
  <c r="M188" i="6"/>
  <c r="U186" i="6"/>
  <c r="I186" i="6"/>
  <c r="L191" i="6"/>
  <c r="L237" i="6" s="1"/>
  <c r="L188" i="6"/>
  <c r="T186" i="6"/>
  <c r="H186" i="6"/>
  <c r="R188" i="6"/>
  <c r="N186" i="6"/>
  <c r="T191" i="6"/>
  <c r="P188" i="6"/>
  <c r="L186" i="6"/>
  <c r="S191" i="6"/>
  <c r="K188" i="6"/>
  <c r="G186" i="6"/>
  <c r="N131" i="6"/>
  <c r="M133" i="6"/>
  <c r="Q135" i="6"/>
  <c r="T145" i="6"/>
  <c r="H147" i="6"/>
  <c r="S173" i="6"/>
  <c r="M175" i="6"/>
  <c r="S188" i="6"/>
  <c r="Q191" i="6"/>
  <c r="U177" i="7"/>
  <c r="I177" i="7"/>
  <c r="T177" i="7"/>
  <c r="H177" i="7"/>
  <c r="H174" i="7"/>
  <c r="S177" i="7"/>
  <c r="G177" i="7"/>
  <c r="G174" i="7"/>
  <c r="R177" i="7"/>
  <c r="J177" i="7"/>
  <c r="J96" i="7"/>
  <c r="N177" i="7"/>
  <c r="L177" i="7"/>
  <c r="K177" i="7"/>
  <c r="G172" i="7"/>
  <c r="G183" i="7"/>
  <c r="G190" i="7" s="1"/>
  <c r="G127" i="7"/>
  <c r="G134" i="7" s="1"/>
  <c r="G121" i="7"/>
  <c r="G232" i="7"/>
  <c r="G229" i="7"/>
  <c r="G226" i="7"/>
  <c r="G141" i="7"/>
  <c r="G231" i="7"/>
  <c r="G227" i="7"/>
  <c r="G219" i="7"/>
  <c r="G221" i="7" s="1"/>
  <c r="G120" i="7"/>
  <c r="G158" i="7" s="1"/>
  <c r="G155" i="7"/>
  <c r="G169" i="7"/>
  <c r="G225" i="7"/>
  <c r="G228" i="7"/>
  <c r="G234" i="7"/>
  <c r="H135" i="7"/>
  <c r="R132" i="8"/>
  <c r="T216" i="8"/>
  <c r="M215" i="9"/>
  <c r="S149" i="11"/>
  <c r="G149" i="11"/>
  <c r="Q149" i="11"/>
  <c r="O149" i="11"/>
  <c r="M149" i="11"/>
  <c r="K149" i="11"/>
  <c r="J149" i="11"/>
  <c r="I149" i="11"/>
  <c r="U149" i="11"/>
  <c r="H96" i="11"/>
  <c r="T149" i="11"/>
  <c r="R149" i="11"/>
  <c r="P149" i="11"/>
  <c r="L149" i="11"/>
  <c r="H149" i="11"/>
  <c r="Q144" i="5"/>
  <c r="I146" i="5"/>
  <c r="U146" i="5"/>
  <c r="I149" i="5"/>
  <c r="U149" i="5"/>
  <c r="J187" i="5"/>
  <c r="N189" i="5"/>
  <c r="J133" i="6"/>
  <c r="Q133" i="6"/>
  <c r="L131" i="6"/>
  <c r="O133" i="6"/>
  <c r="J131" i="6"/>
  <c r="N133" i="6"/>
  <c r="U131" i="6"/>
  <c r="I131" i="6"/>
  <c r="J216" i="6"/>
  <c r="O131" i="6"/>
  <c r="P133" i="6"/>
  <c r="R135" i="6"/>
  <c r="T173" i="6"/>
  <c r="T188" i="6"/>
  <c r="R191" i="6"/>
  <c r="I216" i="6"/>
  <c r="L191" i="7"/>
  <c r="L188" i="7"/>
  <c r="T186" i="7"/>
  <c r="H186" i="7"/>
  <c r="K191" i="7"/>
  <c r="K188" i="7"/>
  <c r="S186" i="7"/>
  <c r="G186" i="7"/>
  <c r="J191" i="7"/>
  <c r="J188" i="7"/>
  <c r="R186" i="7"/>
  <c r="U191" i="7"/>
  <c r="I191" i="7"/>
  <c r="U188" i="7"/>
  <c r="I188" i="7"/>
  <c r="Q186" i="7"/>
  <c r="P191" i="7"/>
  <c r="H188" i="7"/>
  <c r="O191" i="7"/>
  <c r="G188" i="7"/>
  <c r="N191" i="7"/>
  <c r="M191" i="7"/>
  <c r="U186" i="7"/>
  <c r="G191" i="7"/>
  <c r="K186" i="7"/>
  <c r="I186" i="7"/>
  <c r="T188" i="7"/>
  <c r="S188" i="7"/>
  <c r="I133" i="7"/>
  <c r="M135" i="7"/>
  <c r="R191" i="7"/>
  <c r="J161" i="10"/>
  <c r="R159" i="10"/>
  <c r="T161" i="10"/>
  <c r="H161" i="10"/>
  <c r="P159" i="10"/>
  <c r="R161" i="10"/>
  <c r="N159" i="10"/>
  <c r="K163" i="10"/>
  <c r="L161" i="10"/>
  <c r="K159" i="10"/>
  <c r="K161" i="10"/>
  <c r="J159" i="10"/>
  <c r="I161" i="10"/>
  <c r="I159" i="10"/>
  <c r="G161" i="10"/>
  <c r="H159" i="10"/>
  <c r="P163" i="10"/>
  <c r="U161" i="10"/>
  <c r="G159" i="10"/>
  <c r="O163" i="10"/>
  <c r="S161" i="10"/>
  <c r="M163" i="10"/>
  <c r="Q161" i="10"/>
  <c r="P161" i="10"/>
  <c r="S163" i="10"/>
  <c r="N161" i="10"/>
  <c r="U159" i="10"/>
  <c r="Q163" i="10"/>
  <c r="S159" i="10"/>
  <c r="Q159" i="10"/>
  <c r="O159" i="10"/>
  <c r="O161" i="10"/>
  <c r="T159" i="10"/>
  <c r="M161" i="10"/>
  <c r="M159" i="10"/>
  <c r="L159" i="10"/>
  <c r="U215" i="10"/>
  <c r="J163" i="11"/>
  <c r="J160" i="11"/>
  <c r="R158" i="11"/>
  <c r="T163" i="11"/>
  <c r="H163" i="11"/>
  <c r="T160" i="11"/>
  <c r="H160" i="11"/>
  <c r="P158" i="11"/>
  <c r="N163" i="11"/>
  <c r="R160" i="11"/>
  <c r="H158" i="11"/>
  <c r="L163" i="11"/>
  <c r="P160" i="11"/>
  <c r="T158" i="11"/>
  <c r="R163" i="11"/>
  <c r="N160" i="11"/>
  <c r="L158" i="11"/>
  <c r="P163" i="11"/>
  <c r="L160" i="11"/>
  <c r="J158" i="11"/>
  <c r="O163" i="11"/>
  <c r="K160" i="11"/>
  <c r="I158" i="11"/>
  <c r="M163" i="11"/>
  <c r="I160" i="11"/>
  <c r="G158" i="11"/>
  <c r="K163" i="11"/>
  <c r="G160" i="11"/>
  <c r="O158" i="11"/>
  <c r="I163" i="11"/>
  <c r="N158" i="11"/>
  <c r="G163" i="11"/>
  <c r="M158" i="11"/>
  <c r="K158" i="11"/>
  <c r="Q163" i="11"/>
  <c r="U160" i="11"/>
  <c r="Q158" i="11"/>
  <c r="S160" i="11"/>
  <c r="Q160" i="11"/>
  <c r="I96" i="11"/>
  <c r="O160" i="11"/>
  <c r="M160" i="11"/>
  <c r="U163" i="11"/>
  <c r="S163" i="11"/>
  <c r="U158" i="11"/>
  <c r="S158" i="11"/>
  <c r="H242" i="9"/>
  <c r="H151" i="9"/>
  <c r="H205" i="9"/>
  <c r="H165" i="9"/>
  <c r="H117" i="9"/>
  <c r="H137" i="9"/>
  <c r="H224" i="9"/>
  <c r="H115" i="9"/>
  <c r="H118" i="9" s="1"/>
  <c r="H123" i="9"/>
  <c r="R144" i="5"/>
  <c r="J146" i="5"/>
  <c r="J149" i="5"/>
  <c r="K187" i="5"/>
  <c r="O189" i="5"/>
  <c r="N147" i="6"/>
  <c r="J145" i="6"/>
  <c r="M147" i="6"/>
  <c r="U145" i="6"/>
  <c r="I145" i="6"/>
  <c r="K147" i="6"/>
  <c r="S145" i="6"/>
  <c r="G145" i="6"/>
  <c r="O147" i="6"/>
  <c r="N145" i="6"/>
  <c r="J147" i="6"/>
  <c r="L145" i="6"/>
  <c r="I147" i="6"/>
  <c r="K145" i="6"/>
  <c r="S237" i="6"/>
  <c r="P147" i="6"/>
  <c r="U188" i="6"/>
  <c r="U191" i="6"/>
  <c r="M216" i="6"/>
  <c r="T133" i="7"/>
  <c r="H133" i="7"/>
  <c r="P131" i="7"/>
  <c r="S133" i="7"/>
  <c r="G133" i="7"/>
  <c r="O131" i="7"/>
  <c r="R133" i="7"/>
  <c r="N131" i="7"/>
  <c r="Q133" i="7"/>
  <c r="M131" i="7"/>
  <c r="P133" i="7"/>
  <c r="L131" i="7"/>
  <c r="O133" i="7"/>
  <c r="K131" i="7"/>
  <c r="N133" i="7"/>
  <c r="J131" i="7"/>
  <c r="M133" i="7"/>
  <c r="I131" i="7"/>
  <c r="O135" i="7"/>
  <c r="K216" i="7"/>
  <c r="N135" i="7"/>
  <c r="G131" i="7"/>
  <c r="J133" i="7"/>
  <c r="M177" i="7"/>
  <c r="S191" i="7"/>
  <c r="S216" i="8"/>
  <c r="G216" i="8"/>
  <c r="K215" i="8"/>
  <c r="N132" i="8"/>
  <c r="J130" i="8"/>
  <c r="G96" i="8"/>
  <c r="F14" i="8" s="1"/>
  <c r="F16" i="3" s="1"/>
  <c r="R216" i="8"/>
  <c r="J215" i="8"/>
  <c r="M132" i="8"/>
  <c r="U130" i="8"/>
  <c r="I130" i="8"/>
  <c r="Q216" i="8"/>
  <c r="U215" i="8"/>
  <c r="I215" i="8"/>
  <c r="L132" i="8"/>
  <c r="T130" i="8"/>
  <c r="H130" i="8"/>
  <c r="P216" i="8"/>
  <c r="T215" i="8"/>
  <c r="H215" i="8"/>
  <c r="K132" i="8"/>
  <c r="S130" i="8"/>
  <c r="G130" i="8"/>
  <c r="H216" i="8"/>
  <c r="I132" i="8"/>
  <c r="S215" i="8"/>
  <c r="H132" i="8"/>
  <c r="R215" i="8"/>
  <c r="G132" i="8"/>
  <c r="U216" i="8"/>
  <c r="Q215" i="8"/>
  <c r="R130" i="8"/>
  <c r="M216" i="8"/>
  <c r="Q132" i="8"/>
  <c r="K216" i="8"/>
  <c r="O132" i="8"/>
  <c r="J216" i="8"/>
  <c r="J132" i="8"/>
  <c r="Q130" i="8"/>
  <c r="I216" i="8"/>
  <c r="P130" i="8"/>
  <c r="G228" i="8"/>
  <c r="T132" i="8"/>
  <c r="J133" i="9"/>
  <c r="R131" i="9"/>
  <c r="T133" i="9"/>
  <c r="H133" i="9"/>
  <c r="P131" i="9"/>
  <c r="S133" i="9"/>
  <c r="G133" i="9"/>
  <c r="O131" i="9"/>
  <c r="R133" i="9"/>
  <c r="N131" i="9"/>
  <c r="U135" i="9"/>
  <c r="Q133" i="9"/>
  <c r="M131" i="9"/>
  <c r="T135" i="9"/>
  <c r="T237" i="9" s="1"/>
  <c r="P133" i="9"/>
  <c r="L131" i="9"/>
  <c r="O133" i="9"/>
  <c r="K131" i="9"/>
  <c r="N133" i="9"/>
  <c r="J131" i="9"/>
  <c r="H131" i="9"/>
  <c r="Q135" i="9"/>
  <c r="G131" i="9"/>
  <c r="R215" i="9"/>
  <c r="P135" i="9"/>
  <c r="Q215" i="9"/>
  <c r="O135" i="9"/>
  <c r="O237" i="9" s="1"/>
  <c r="M133" i="9"/>
  <c r="K133" i="9"/>
  <c r="U131" i="9"/>
  <c r="M135" i="9"/>
  <c r="I133" i="9"/>
  <c r="T131" i="9"/>
  <c r="I135" i="9"/>
  <c r="S131" i="9"/>
  <c r="M175" i="10"/>
  <c r="U173" i="10"/>
  <c r="I173" i="10"/>
  <c r="K175" i="10"/>
  <c r="S173" i="10"/>
  <c r="G173" i="10"/>
  <c r="U175" i="10"/>
  <c r="I175" i="10"/>
  <c r="Q173" i="10"/>
  <c r="J177" i="10"/>
  <c r="J175" i="10"/>
  <c r="K173" i="10"/>
  <c r="H175" i="10"/>
  <c r="J173" i="10"/>
  <c r="G175" i="10"/>
  <c r="H173" i="10"/>
  <c r="G177" i="10"/>
  <c r="G237" i="10" s="1"/>
  <c r="L175" i="10"/>
  <c r="P173" i="10"/>
  <c r="U177" i="10"/>
  <c r="O173" i="10"/>
  <c r="T177" i="10"/>
  <c r="N173" i="10"/>
  <c r="S177" i="10"/>
  <c r="M173" i="10"/>
  <c r="P177" i="10"/>
  <c r="P175" i="10"/>
  <c r="L177" i="10"/>
  <c r="N175" i="10"/>
  <c r="K177" i="10"/>
  <c r="R177" i="10"/>
  <c r="N177" i="10"/>
  <c r="T173" i="10"/>
  <c r="R173" i="10"/>
  <c r="L173" i="10"/>
  <c r="S175" i="10"/>
  <c r="R175" i="10"/>
  <c r="Q175" i="10"/>
  <c r="G134" i="10"/>
  <c r="G61" i="10"/>
  <c r="F61" i="10"/>
  <c r="F65" i="10" s="1"/>
  <c r="H144" i="5"/>
  <c r="T144" i="5"/>
  <c r="L146" i="5"/>
  <c r="M187" i="5"/>
  <c r="T175" i="6"/>
  <c r="H175" i="6"/>
  <c r="P173" i="6"/>
  <c r="S175" i="6"/>
  <c r="G175" i="6"/>
  <c r="O173" i="6"/>
  <c r="R175" i="6"/>
  <c r="N173" i="6"/>
  <c r="Q175" i="6"/>
  <c r="M173" i="6"/>
  <c r="L175" i="6"/>
  <c r="H173" i="6"/>
  <c r="J175" i="6"/>
  <c r="I175" i="6"/>
  <c r="U173" i="6"/>
  <c r="R131" i="6"/>
  <c r="T133" i="6"/>
  <c r="R147" i="6"/>
  <c r="U175" i="6"/>
  <c r="P216" i="6"/>
  <c r="G22" i="7"/>
  <c r="F22" i="7"/>
  <c r="C127" i="13" s="1"/>
  <c r="Q131" i="7"/>
  <c r="L133" i="7"/>
  <c r="P177" i="7"/>
  <c r="J186" i="7"/>
  <c r="G207" i="7"/>
  <c r="G230" i="7"/>
  <c r="G219" i="8"/>
  <c r="G221" i="8" s="1"/>
  <c r="F65" i="8"/>
  <c r="L215" i="8"/>
  <c r="G62" i="9"/>
  <c r="F62" i="9"/>
  <c r="F65" i="9" s="1"/>
  <c r="I131" i="9"/>
  <c r="L133" i="9"/>
  <c r="H179" i="9"/>
  <c r="G39" i="10"/>
  <c r="F39" i="10"/>
  <c r="G121" i="10" s="1"/>
  <c r="T163" i="10"/>
  <c r="H229" i="7"/>
  <c r="H226" i="7"/>
  <c r="H141" i="7"/>
  <c r="H120" i="7"/>
  <c r="H158" i="7" s="1"/>
  <c r="H155" i="7"/>
  <c r="H169" i="7"/>
  <c r="H225" i="7"/>
  <c r="H121" i="7"/>
  <c r="T163" i="8"/>
  <c r="H163" i="8"/>
  <c r="T160" i="8"/>
  <c r="H160" i="8"/>
  <c r="P158" i="8"/>
  <c r="S163" i="8"/>
  <c r="G163" i="8"/>
  <c r="S160" i="8"/>
  <c r="G160" i="8"/>
  <c r="O158" i="8"/>
  <c r="R163" i="8"/>
  <c r="R160" i="8"/>
  <c r="N158" i="8"/>
  <c r="Q163" i="8"/>
  <c r="Q160" i="8"/>
  <c r="M158" i="8"/>
  <c r="O163" i="8"/>
  <c r="K160" i="8"/>
  <c r="G158" i="8"/>
  <c r="N163" i="8"/>
  <c r="J160" i="8"/>
  <c r="M163" i="8"/>
  <c r="I160" i="8"/>
  <c r="U158" i="8"/>
  <c r="L163" i="8"/>
  <c r="T158" i="8"/>
  <c r="S158" i="8"/>
  <c r="O160" i="8"/>
  <c r="P161" i="9"/>
  <c r="L159" i="9"/>
  <c r="N161" i="9"/>
  <c r="J159" i="9"/>
  <c r="M161" i="9"/>
  <c r="U159" i="9"/>
  <c r="I159" i="9"/>
  <c r="I161" i="9"/>
  <c r="H159" i="9"/>
  <c r="G161" i="9"/>
  <c r="U161" i="9"/>
  <c r="T159" i="9"/>
  <c r="T161" i="9"/>
  <c r="S159" i="9"/>
  <c r="H161" i="9"/>
  <c r="O159" i="9"/>
  <c r="S163" i="9"/>
  <c r="N159" i="9"/>
  <c r="P163" i="9"/>
  <c r="M159" i="9"/>
  <c r="O163" i="9"/>
  <c r="K159" i="9"/>
  <c r="S161" i="9"/>
  <c r="R161" i="9"/>
  <c r="Q161" i="9"/>
  <c r="N163" i="9"/>
  <c r="O161" i="9"/>
  <c r="R159" i="9"/>
  <c r="I96" i="9"/>
  <c r="G159" i="9"/>
  <c r="K161" i="9"/>
  <c r="U173" i="9"/>
  <c r="M130" i="6"/>
  <c r="Q132" i="6"/>
  <c r="H135" i="6"/>
  <c r="H237" i="6" s="1"/>
  <c r="U135" i="6"/>
  <c r="U237" i="6" s="1"/>
  <c r="K216" i="6"/>
  <c r="D63" i="7"/>
  <c r="G63" i="7" s="1"/>
  <c r="L216" i="7"/>
  <c r="H227" i="7"/>
  <c r="H234" i="7"/>
  <c r="H224" i="8"/>
  <c r="H234" i="8"/>
  <c r="H151" i="8"/>
  <c r="H117" i="8"/>
  <c r="H242" i="8"/>
  <c r="H205" i="8"/>
  <c r="H165" i="8"/>
  <c r="I114" i="8"/>
  <c r="P160" i="8"/>
  <c r="G178" i="8"/>
  <c r="S175" i="9"/>
  <c r="G175" i="9"/>
  <c r="O173" i="9"/>
  <c r="R175" i="9"/>
  <c r="N173" i="9"/>
  <c r="Q175" i="9"/>
  <c r="M173" i="9"/>
  <c r="P175" i="9"/>
  <c r="L173" i="9"/>
  <c r="N175" i="9"/>
  <c r="J173" i="9"/>
  <c r="L175" i="9"/>
  <c r="H173" i="9"/>
  <c r="K175" i="9"/>
  <c r="G173" i="9"/>
  <c r="J175" i="9"/>
  <c r="S177" i="9"/>
  <c r="Q177" i="9"/>
  <c r="S173" i="9"/>
  <c r="R173" i="9"/>
  <c r="U175" i="9"/>
  <c r="Q173" i="9"/>
  <c r="T175" i="9"/>
  <c r="P173" i="9"/>
  <c r="J96" i="9"/>
  <c r="P159" i="9"/>
  <c r="L161" i="9"/>
  <c r="N130" i="6"/>
  <c r="R132" i="6"/>
  <c r="I135" i="6"/>
  <c r="I237" i="6" s="1"/>
  <c r="G60" i="7"/>
  <c r="F63" i="7"/>
  <c r="H119" i="7"/>
  <c r="P130" i="7"/>
  <c r="H132" i="7"/>
  <c r="P135" i="7"/>
  <c r="H183" i="7"/>
  <c r="H228" i="7"/>
  <c r="G148" i="8"/>
  <c r="U160" i="8"/>
  <c r="Q159" i="9"/>
  <c r="G148" i="6"/>
  <c r="T216" i="6"/>
  <c r="H216" i="6"/>
  <c r="S216" i="6"/>
  <c r="G216" i="6"/>
  <c r="N135" i="6"/>
  <c r="R216" i="6"/>
  <c r="Q216" i="6"/>
  <c r="P130" i="6"/>
  <c r="H132" i="6"/>
  <c r="T132" i="6"/>
  <c r="K135" i="6"/>
  <c r="N216" i="6"/>
  <c r="F60" i="7"/>
  <c r="F65" i="7" s="1"/>
  <c r="Q216" i="7"/>
  <c r="L135" i="7"/>
  <c r="L237" i="7" s="1"/>
  <c r="L132" i="7"/>
  <c r="T130" i="7"/>
  <c r="H130" i="7"/>
  <c r="P216" i="7"/>
  <c r="K135" i="7"/>
  <c r="K132" i="7"/>
  <c r="S130" i="7"/>
  <c r="G130" i="7"/>
  <c r="O216" i="7"/>
  <c r="J135" i="7"/>
  <c r="J132" i="7"/>
  <c r="R130" i="7"/>
  <c r="N216" i="7"/>
  <c r="U135" i="7"/>
  <c r="I135" i="7"/>
  <c r="I237" i="7" s="1"/>
  <c r="U132" i="7"/>
  <c r="I132" i="7"/>
  <c r="Q130" i="7"/>
  <c r="H216" i="7"/>
  <c r="T135" i="7"/>
  <c r="T237" i="7" s="1"/>
  <c r="P132" i="7"/>
  <c r="L130" i="7"/>
  <c r="G216" i="7"/>
  <c r="S135" i="7"/>
  <c r="O132" i="7"/>
  <c r="K130" i="7"/>
  <c r="R135" i="7"/>
  <c r="N132" i="7"/>
  <c r="J130" i="7"/>
  <c r="U216" i="7"/>
  <c r="Q135" i="7"/>
  <c r="Q237" i="7" s="1"/>
  <c r="M132" i="7"/>
  <c r="I130" i="7"/>
  <c r="G96" i="7"/>
  <c r="R132" i="7"/>
  <c r="S216" i="7"/>
  <c r="C106" i="13"/>
  <c r="G225" i="8"/>
  <c r="H123" i="8"/>
  <c r="D74" i="13"/>
  <c r="F74" i="13" s="1"/>
  <c r="I175" i="9"/>
  <c r="K147" i="7"/>
  <c r="S145" i="7"/>
  <c r="G145" i="7"/>
  <c r="J147" i="7"/>
  <c r="R145" i="7"/>
  <c r="U147" i="7"/>
  <c r="I147" i="7"/>
  <c r="Q145" i="7"/>
  <c r="T147" i="7"/>
  <c r="H147" i="7"/>
  <c r="P145" i="7"/>
  <c r="H118" i="7"/>
  <c r="H230" i="7" s="1"/>
  <c r="L145" i="7"/>
  <c r="P147" i="7"/>
  <c r="N159" i="7"/>
  <c r="O173" i="7"/>
  <c r="S175" i="7"/>
  <c r="U187" i="7"/>
  <c r="I189" i="7"/>
  <c r="P161" i="8"/>
  <c r="L159" i="8"/>
  <c r="O161" i="8"/>
  <c r="K159" i="8"/>
  <c r="N161" i="8"/>
  <c r="J159" i="8"/>
  <c r="M161" i="8"/>
  <c r="U159" i="8"/>
  <c r="I159" i="8"/>
  <c r="T159" i="8"/>
  <c r="H161" i="8"/>
  <c r="I173" i="8"/>
  <c r="M175" i="8"/>
  <c r="T187" i="8"/>
  <c r="H191" i="8"/>
  <c r="G176" i="9"/>
  <c r="N189" i="9"/>
  <c r="M189" i="9"/>
  <c r="U187" i="9"/>
  <c r="O189" i="9"/>
  <c r="R187" i="9"/>
  <c r="L189" i="9"/>
  <c r="Q187" i="9"/>
  <c r="K189" i="9"/>
  <c r="P187" i="9"/>
  <c r="J189" i="9"/>
  <c r="O187" i="9"/>
  <c r="M187" i="9"/>
  <c r="T189" i="9"/>
  <c r="K187" i="9"/>
  <c r="S189" i="9"/>
  <c r="J187" i="9"/>
  <c r="R189" i="9"/>
  <c r="I187" i="9"/>
  <c r="S191" i="9"/>
  <c r="Q189" i="9"/>
  <c r="T187" i="9"/>
  <c r="P191" i="9"/>
  <c r="P189" i="9"/>
  <c r="S187" i="9"/>
  <c r="O191" i="9"/>
  <c r="I189" i="9"/>
  <c r="N187" i="9"/>
  <c r="M191" i="9"/>
  <c r="H189" i="9"/>
  <c r="L187" i="9"/>
  <c r="K96" i="9"/>
  <c r="G134" i="9"/>
  <c r="F39" i="7"/>
  <c r="N161" i="7"/>
  <c r="J159" i="7"/>
  <c r="M161" i="7"/>
  <c r="U159" i="7"/>
  <c r="I159" i="7"/>
  <c r="L161" i="7"/>
  <c r="T159" i="7"/>
  <c r="H159" i="7"/>
  <c r="K161" i="7"/>
  <c r="S159" i="7"/>
  <c r="G159" i="7"/>
  <c r="H205" i="7"/>
  <c r="H165" i="7"/>
  <c r="H224" i="7"/>
  <c r="M145" i="7"/>
  <c r="Q147" i="7"/>
  <c r="O159" i="7"/>
  <c r="S161" i="7"/>
  <c r="P173" i="7"/>
  <c r="G192" i="7"/>
  <c r="J189" i="7"/>
  <c r="S175" i="8"/>
  <c r="G175" i="8"/>
  <c r="O173" i="8"/>
  <c r="R175" i="8"/>
  <c r="N173" i="8"/>
  <c r="Q175" i="8"/>
  <c r="M173" i="8"/>
  <c r="P175" i="8"/>
  <c r="L173" i="8"/>
  <c r="I161" i="8"/>
  <c r="J173" i="8"/>
  <c r="N175" i="8"/>
  <c r="R177" i="8"/>
  <c r="U187" i="8"/>
  <c r="G189" i="9"/>
  <c r="Q175" i="7"/>
  <c r="M173" i="7"/>
  <c r="P175" i="7"/>
  <c r="L173" i="7"/>
  <c r="O175" i="7"/>
  <c r="K173" i="7"/>
  <c r="N175" i="7"/>
  <c r="J173" i="7"/>
  <c r="I114" i="7"/>
  <c r="N145" i="7"/>
  <c r="R147" i="7"/>
  <c r="H151" i="7"/>
  <c r="P159" i="7"/>
  <c r="T161" i="7"/>
  <c r="Q173" i="7"/>
  <c r="U175" i="7"/>
  <c r="H179" i="7"/>
  <c r="G187" i="7"/>
  <c r="J189" i="8"/>
  <c r="R187" i="8"/>
  <c r="U189" i="8"/>
  <c r="I189" i="8"/>
  <c r="Q187" i="8"/>
  <c r="T189" i="8"/>
  <c r="H189" i="8"/>
  <c r="P187" i="8"/>
  <c r="S189" i="8"/>
  <c r="G189" i="8"/>
  <c r="O187" i="8"/>
  <c r="J161" i="8"/>
  <c r="K173" i="8"/>
  <c r="O175" i="8"/>
  <c r="S177" i="8"/>
  <c r="J191" i="8"/>
  <c r="U189" i="9"/>
  <c r="T189" i="7"/>
  <c r="H189" i="7"/>
  <c r="P187" i="7"/>
  <c r="S189" i="7"/>
  <c r="G189" i="7"/>
  <c r="O187" i="7"/>
  <c r="R189" i="7"/>
  <c r="N187" i="7"/>
  <c r="Q189" i="7"/>
  <c r="M187" i="7"/>
  <c r="O145" i="7"/>
  <c r="S147" i="7"/>
  <c r="Q159" i="7"/>
  <c r="U161" i="7"/>
  <c r="R173" i="7"/>
  <c r="H187" i="7"/>
  <c r="L189" i="7"/>
  <c r="G159" i="8"/>
  <c r="K161" i="8"/>
  <c r="P173" i="8"/>
  <c r="T175" i="8"/>
  <c r="G187" i="8"/>
  <c r="K189" i="8"/>
  <c r="O191" i="8"/>
  <c r="R135" i="9"/>
  <c r="R237" i="9" s="1"/>
  <c r="G232" i="8"/>
  <c r="G229" i="8"/>
  <c r="G226" i="8"/>
  <c r="O131" i="8"/>
  <c r="G133" i="8"/>
  <c r="S133" i="8"/>
  <c r="R145" i="8"/>
  <c r="J147" i="8"/>
  <c r="P172" i="8"/>
  <c r="H174" i="8"/>
  <c r="T174" i="8"/>
  <c r="H177" i="8"/>
  <c r="T177" i="8"/>
  <c r="G186" i="8"/>
  <c r="S186" i="8"/>
  <c r="K188" i="8"/>
  <c r="K191" i="8"/>
  <c r="I130" i="9"/>
  <c r="M132" i="9"/>
  <c r="P144" i="9"/>
  <c r="J237" i="10"/>
  <c r="G121" i="8"/>
  <c r="G192" i="8" s="1"/>
  <c r="G127" i="8"/>
  <c r="G128" i="8" s="1"/>
  <c r="P131" i="8"/>
  <c r="H133" i="8"/>
  <c r="T133" i="8"/>
  <c r="G145" i="8"/>
  <c r="S145" i="8"/>
  <c r="K147" i="8"/>
  <c r="Q172" i="8"/>
  <c r="I174" i="8"/>
  <c r="U174" i="8"/>
  <c r="I177" i="8"/>
  <c r="U177" i="8"/>
  <c r="G183" i="8"/>
  <c r="H186" i="8"/>
  <c r="T186" i="8"/>
  <c r="L188" i="8"/>
  <c r="L191" i="8"/>
  <c r="O215" i="9"/>
  <c r="N215" i="9"/>
  <c r="L215" i="9"/>
  <c r="K215" i="9"/>
  <c r="J215" i="9"/>
  <c r="G216" i="9"/>
  <c r="I215" i="9"/>
  <c r="N135" i="9"/>
  <c r="N132" i="9"/>
  <c r="J130" i="9"/>
  <c r="G96" i="9"/>
  <c r="F14" i="9" s="1"/>
  <c r="G16" i="3" s="1"/>
  <c r="U215" i="9"/>
  <c r="L135" i="9"/>
  <c r="L132" i="9"/>
  <c r="T130" i="9"/>
  <c r="H130" i="9"/>
  <c r="T215" i="9"/>
  <c r="K135" i="9"/>
  <c r="K237" i="9" s="1"/>
  <c r="K132" i="9"/>
  <c r="S130" i="9"/>
  <c r="G130" i="9"/>
  <c r="S215" i="9"/>
  <c r="J135" i="9"/>
  <c r="J237" i="9" s="1"/>
  <c r="J132" i="9"/>
  <c r="R130" i="9"/>
  <c r="K130" i="9"/>
  <c r="O132" i="9"/>
  <c r="S135" i="9"/>
  <c r="Q144" i="9"/>
  <c r="J146" i="9"/>
  <c r="Q131" i="8"/>
  <c r="I133" i="8"/>
  <c r="U133" i="8"/>
  <c r="R172" i="8"/>
  <c r="J174" i="8"/>
  <c r="J177" i="8"/>
  <c r="I186" i="8"/>
  <c r="U186" i="8"/>
  <c r="M188" i="8"/>
  <c r="M191" i="8"/>
  <c r="G231" i="8"/>
  <c r="Q149" i="9"/>
  <c r="Q146" i="9"/>
  <c r="M144" i="9"/>
  <c r="O149" i="9"/>
  <c r="O146" i="9"/>
  <c r="K144" i="9"/>
  <c r="N149" i="9"/>
  <c r="N146" i="9"/>
  <c r="J144" i="9"/>
  <c r="K149" i="9"/>
  <c r="K146" i="9"/>
  <c r="L144" i="9"/>
  <c r="I149" i="9"/>
  <c r="I146" i="9"/>
  <c r="H144" i="9"/>
  <c r="H149" i="9"/>
  <c r="H237" i="9" s="1"/>
  <c r="H146" i="9"/>
  <c r="G144" i="9"/>
  <c r="G149" i="9"/>
  <c r="G146" i="9"/>
  <c r="U144" i="9"/>
  <c r="R144" i="9"/>
  <c r="L146" i="9"/>
  <c r="L149" i="9"/>
  <c r="G163" i="10"/>
  <c r="G60" i="11"/>
  <c r="F60" i="11"/>
  <c r="F65" i="11" s="1"/>
  <c r="R131" i="8"/>
  <c r="I145" i="8"/>
  <c r="U145" i="8"/>
  <c r="G172" i="8"/>
  <c r="S172" i="8"/>
  <c r="K174" i="8"/>
  <c r="J186" i="8"/>
  <c r="N188" i="8"/>
  <c r="G207" i="8"/>
  <c r="G227" i="8"/>
  <c r="S144" i="9"/>
  <c r="M146" i="9"/>
  <c r="M149" i="9"/>
  <c r="G219" i="10"/>
  <c r="T163" i="9"/>
  <c r="H163" i="9"/>
  <c r="T160" i="9"/>
  <c r="H160" i="9"/>
  <c r="P158" i="9"/>
  <c r="R163" i="9"/>
  <c r="R160" i="9"/>
  <c r="N158" i="9"/>
  <c r="Q163" i="9"/>
  <c r="Q160" i="9"/>
  <c r="M158" i="9"/>
  <c r="U147" i="9"/>
  <c r="T158" i="9"/>
  <c r="U160" i="9"/>
  <c r="U163" i="9"/>
  <c r="J188" i="9"/>
  <c r="P189" i="10"/>
  <c r="L187" i="10"/>
  <c r="N189" i="10"/>
  <c r="J187" i="10"/>
  <c r="L189" i="10"/>
  <c r="T187" i="10"/>
  <c r="H187" i="10"/>
  <c r="K189" i="10"/>
  <c r="S187" i="10"/>
  <c r="G187" i="10"/>
  <c r="S189" i="10"/>
  <c r="O187" i="10"/>
  <c r="R189" i="10"/>
  <c r="N187" i="10"/>
  <c r="Q189" i="10"/>
  <c r="M187" i="10"/>
  <c r="O189" i="10"/>
  <c r="K187" i="10"/>
  <c r="Q191" i="10"/>
  <c r="K177" i="9"/>
  <c r="G172" i="9"/>
  <c r="J177" i="9"/>
  <c r="U177" i="9"/>
  <c r="I177" i="9"/>
  <c r="T177" i="9"/>
  <c r="H177" i="9"/>
  <c r="G234" i="9"/>
  <c r="G230" i="9"/>
  <c r="G227" i="9"/>
  <c r="G226" i="9"/>
  <c r="G209" i="9"/>
  <c r="G207" i="9"/>
  <c r="G228" i="9"/>
  <c r="G219" i="9"/>
  <c r="G221" i="9" s="1"/>
  <c r="G183" i="9"/>
  <c r="G184" i="9" s="1"/>
  <c r="H145" i="9"/>
  <c r="G147" i="9"/>
  <c r="U158" i="9"/>
  <c r="G174" i="9"/>
  <c r="O177" i="9"/>
  <c r="K188" i="9"/>
  <c r="G225" i="9"/>
  <c r="D63" i="10"/>
  <c r="G63" i="10" s="1"/>
  <c r="D63" i="9"/>
  <c r="G63" i="9" s="1"/>
  <c r="R191" i="9"/>
  <c r="R188" i="9"/>
  <c r="Q191" i="9"/>
  <c r="Q188" i="9"/>
  <c r="K191" i="9"/>
  <c r="O188" i="9"/>
  <c r="J186" i="9"/>
  <c r="J191" i="9"/>
  <c r="N188" i="9"/>
  <c r="U186" i="9"/>
  <c r="I186" i="9"/>
  <c r="I191" i="9"/>
  <c r="M188" i="9"/>
  <c r="T186" i="9"/>
  <c r="H186" i="9"/>
  <c r="H191" i="9"/>
  <c r="L188" i="9"/>
  <c r="S186" i="9"/>
  <c r="G186" i="9"/>
  <c r="G121" i="9"/>
  <c r="G164" i="9" s="1"/>
  <c r="G127" i="9"/>
  <c r="G141" i="9"/>
  <c r="G148" i="9" s="1"/>
  <c r="J145" i="9"/>
  <c r="G158" i="9"/>
  <c r="G160" i="9"/>
  <c r="G163" i="9"/>
  <c r="P177" i="9"/>
  <c r="K186" i="9"/>
  <c r="P188" i="9"/>
  <c r="L191" i="9"/>
  <c r="G191" i="10"/>
  <c r="M147" i="9"/>
  <c r="U145" i="9"/>
  <c r="I145" i="9"/>
  <c r="K147" i="9"/>
  <c r="S145" i="9"/>
  <c r="G145" i="9"/>
  <c r="J147" i="9"/>
  <c r="R145" i="9"/>
  <c r="L145" i="9"/>
  <c r="L147" i="9"/>
  <c r="I158" i="9"/>
  <c r="J160" i="9"/>
  <c r="J163" i="9"/>
  <c r="R177" i="9"/>
  <c r="M186" i="9"/>
  <c r="T188" i="9"/>
  <c r="N191" i="9"/>
  <c r="G229" i="9"/>
  <c r="J191" i="10"/>
  <c r="H177" i="10"/>
  <c r="P131" i="10"/>
  <c r="U133" i="10"/>
  <c r="O135" i="10"/>
  <c r="G141" i="10"/>
  <c r="G148" i="10" s="1"/>
  <c r="R145" i="10"/>
  <c r="H147" i="10"/>
  <c r="P215" i="10"/>
  <c r="Q131" i="10"/>
  <c r="Q135" i="10"/>
  <c r="S145" i="10"/>
  <c r="M147" i="10"/>
  <c r="J83" i="10"/>
  <c r="P133" i="10"/>
  <c r="L131" i="10"/>
  <c r="N133" i="10"/>
  <c r="J131" i="10"/>
  <c r="L133" i="10"/>
  <c r="T131" i="10"/>
  <c r="H131" i="10"/>
  <c r="K215" i="10"/>
  <c r="N135" i="10"/>
  <c r="O133" i="10"/>
  <c r="O131" i="10"/>
  <c r="J215" i="10"/>
  <c r="M135" i="10"/>
  <c r="M133" i="10"/>
  <c r="N131" i="10"/>
  <c r="I215" i="10"/>
  <c r="L135" i="10"/>
  <c r="K133" i="10"/>
  <c r="M131" i="10"/>
  <c r="H215" i="10"/>
  <c r="K135" i="10"/>
  <c r="J133" i="10"/>
  <c r="K131" i="10"/>
  <c r="G231" i="10"/>
  <c r="G233" i="10" s="1"/>
  <c r="G228" i="10"/>
  <c r="G120" i="10"/>
  <c r="G155" i="10"/>
  <c r="G212" i="10"/>
  <c r="G230" i="10"/>
  <c r="G227" i="10"/>
  <c r="G207" i="10"/>
  <c r="G183" i="10"/>
  <c r="G190" i="10" s="1"/>
  <c r="G234" i="10"/>
  <c r="G169" i="10"/>
  <c r="G176" i="10" s="1"/>
  <c r="G209" i="10"/>
  <c r="R131" i="10"/>
  <c r="S135" i="10"/>
  <c r="T145" i="10"/>
  <c r="S215" i="10"/>
  <c r="S147" i="10"/>
  <c r="G147" i="10"/>
  <c r="O145" i="10"/>
  <c r="Q147" i="10"/>
  <c r="M145" i="10"/>
  <c r="O147" i="10"/>
  <c r="K145" i="10"/>
  <c r="L147" i="10"/>
  <c r="L145" i="10"/>
  <c r="K147" i="10"/>
  <c r="J145" i="10"/>
  <c r="J147" i="10"/>
  <c r="I145" i="10"/>
  <c r="I147" i="10"/>
  <c r="H145" i="10"/>
  <c r="G96" i="10"/>
  <c r="S131" i="10"/>
  <c r="U135" i="10"/>
  <c r="U145" i="10"/>
  <c r="P147" i="10"/>
  <c r="T215" i="10"/>
  <c r="K149" i="10"/>
  <c r="K146" i="10"/>
  <c r="S144" i="10"/>
  <c r="G144" i="10"/>
  <c r="U149" i="10"/>
  <c r="I149" i="10"/>
  <c r="I237" i="10" s="1"/>
  <c r="U146" i="10"/>
  <c r="I146" i="10"/>
  <c r="Q144" i="10"/>
  <c r="S149" i="10"/>
  <c r="G149" i="10"/>
  <c r="S146" i="10"/>
  <c r="G146" i="10"/>
  <c r="O144" i="10"/>
  <c r="H229" i="10"/>
  <c r="H219" i="10"/>
  <c r="H221" i="10" s="1"/>
  <c r="H209" i="10"/>
  <c r="H230" i="10"/>
  <c r="H169" i="10"/>
  <c r="H207" i="10"/>
  <c r="H210" i="10" s="1"/>
  <c r="H141" i="10"/>
  <c r="I144" i="10"/>
  <c r="H146" i="10"/>
  <c r="H149" i="10"/>
  <c r="G158" i="10"/>
  <c r="G160" i="10"/>
  <c r="H186" i="10"/>
  <c r="L188" i="10"/>
  <c r="S191" i="10"/>
  <c r="H212" i="10"/>
  <c r="N163" i="10"/>
  <c r="N160" i="10"/>
  <c r="J158" i="10"/>
  <c r="L163" i="10"/>
  <c r="L160" i="10"/>
  <c r="T158" i="10"/>
  <c r="H158" i="10"/>
  <c r="J163" i="10"/>
  <c r="J160" i="10"/>
  <c r="R158" i="10"/>
  <c r="I96" i="10"/>
  <c r="J144" i="10"/>
  <c r="J146" i="10"/>
  <c r="J149" i="10"/>
  <c r="H155" i="10"/>
  <c r="I158" i="10"/>
  <c r="H160" i="10"/>
  <c r="H163" i="10"/>
  <c r="G172" i="10"/>
  <c r="I186" i="10"/>
  <c r="M188" i="10"/>
  <c r="U191" i="10"/>
  <c r="F63" i="11"/>
  <c r="D63" i="11"/>
  <c r="G63" i="11" s="1"/>
  <c r="F62" i="10"/>
  <c r="Q177" i="10"/>
  <c r="O177" i="10"/>
  <c r="M177" i="10"/>
  <c r="H179" i="10"/>
  <c r="H123" i="10"/>
  <c r="H115" i="10"/>
  <c r="H194" i="10"/>
  <c r="I114" i="10"/>
  <c r="H234" i="10"/>
  <c r="K144" i="10"/>
  <c r="L146" i="10"/>
  <c r="L149" i="10"/>
  <c r="K158" i="10"/>
  <c r="I160" i="10"/>
  <c r="I163" i="10"/>
  <c r="I177" i="10"/>
  <c r="J186" i="10"/>
  <c r="T191" i="10"/>
  <c r="H191" i="10"/>
  <c r="T188" i="10"/>
  <c r="H188" i="10"/>
  <c r="P186" i="10"/>
  <c r="R191" i="10"/>
  <c r="R188" i="10"/>
  <c r="N186" i="10"/>
  <c r="K96" i="10"/>
  <c r="P191" i="10"/>
  <c r="P188" i="10"/>
  <c r="L186" i="10"/>
  <c r="O191" i="10"/>
  <c r="O188" i="10"/>
  <c r="K186" i="10"/>
  <c r="L144" i="10"/>
  <c r="M146" i="10"/>
  <c r="M149" i="10"/>
  <c r="M186" i="10"/>
  <c r="Q188" i="10"/>
  <c r="N189" i="11"/>
  <c r="L189" i="11"/>
  <c r="T187" i="11"/>
  <c r="H187" i="11"/>
  <c r="K189" i="11"/>
  <c r="S187" i="11"/>
  <c r="G187" i="11"/>
  <c r="J189" i="11"/>
  <c r="L187" i="11"/>
  <c r="H189" i="11"/>
  <c r="J187" i="11"/>
  <c r="U189" i="11"/>
  <c r="P187" i="11"/>
  <c r="S189" i="11"/>
  <c r="N187" i="11"/>
  <c r="R189" i="11"/>
  <c r="M187" i="11"/>
  <c r="G189" i="11"/>
  <c r="O187" i="11"/>
  <c r="I187" i="11"/>
  <c r="O189" i="11"/>
  <c r="M189" i="11"/>
  <c r="I189" i="11"/>
  <c r="H191" i="11"/>
  <c r="U187" i="11"/>
  <c r="K96" i="11"/>
  <c r="R187" i="11"/>
  <c r="Q187" i="11"/>
  <c r="K187" i="11"/>
  <c r="T189" i="11"/>
  <c r="L215" i="10"/>
  <c r="M177" i="11"/>
  <c r="M174" i="11"/>
  <c r="U172" i="11"/>
  <c r="I172" i="11"/>
  <c r="K177" i="11"/>
  <c r="K174" i="11"/>
  <c r="S172" i="11"/>
  <c r="G172" i="11"/>
  <c r="I177" i="11"/>
  <c r="O174" i="11"/>
  <c r="Q172" i="11"/>
  <c r="U177" i="11"/>
  <c r="G177" i="11"/>
  <c r="L174" i="11"/>
  <c r="O172" i="11"/>
  <c r="T177" i="11"/>
  <c r="J174" i="11"/>
  <c r="N172" i="11"/>
  <c r="J177" i="11"/>
  <c r="S174" i="11"/>
  <c r="L172" i="11"/>
  <c r="Q174" i="11"/>
  <c r="J172" i="11"/>
  <c r="P174" i="11"/>
  <c r="H172" i="11"/>
  <c r="N174" i="11"/>
  <c r="U174" i="11"/>
  <c r="T174" i="11"/>
  <c r="R174" i="11"/>
  <c r="T172" i="11"/>
  <c r="P172" i="11"/>
  <c r="R177" i="11"/>
  <c r="L130" i="10"/>
  <c r="P132" i="10"/>
  <c r="P135" i="10"/>
  <c r="M215" i="10"/>
  <c r="R172" i="11"/>
  <c r="O175" i="11"/>
  <c r="S177" i="11"/>
  <c r="N173" i="11"/>
  <c r="T175" i="11"/>
  <c r="N130" i="10"/>
  <c r="R132" i="10"/>
  <c r="R135" i="10"/>
  <c r="R237" i="10" s="1"/>
  <c r="O215" i="10"/>
  <c r="G190" i="11"/>
  <c r="S173" i="11"/>
  <c r="G176" i="11"/>
  <c r="P130" i="10"/>
  <c r="H132" i="10"/>
  <c r="T132" i="10"/>
  <c r="H135" i="10"/>
  <c r="T135" i="10"/>
  <c r="Q215" i="10"/>
  <c r="U175" i="11"/>
  <c r="I175" i="11"/>
  <c r="Q173" i="11"/>
  <c r="S175" i="11"/>
  <c r="G175" i="11"/>
  <c r="O173" i="11"/>
  <c r="M175" i="11"/>
  <c r="P173" i="11"/>
  <c r="K175" i="11"/>
  <c r="M173" i="11"/>
  <c r="J175" i="11"/>
  <c r="L173" i="11"/>
  <c r="R173" i="11"/>
  <c r="R175" i="11"/>
  <c r="K173" i="11"/>
  <c r="Q175" i="11"/>
  <c r="J173" i="11"/>
  <c r="P175" i="11"/>
  <c r="I173" i="11"/>
  <c r="H173" i="11"/>
  <c r="G173" i="11"/>
  <c r="U173" i="11"/>
  <c r="R191" i="11"/>
  <c r="R188" i="11"/>
  <c r="P191" i="11"/>
  <c r="P188" i="11"/>
  <c r="L186" i="11"/>
  <c r="O191" i="11"/>
  <c r="O188" i="11"/>
  <c r="K186" i="11"/>
  <c r="K191" i="11"/>
  <c r="K188" i="11"/>
  <c r="N186" i="11"/>
  <c r="I191" i="11"/>
  <c r="I188" i="11"/>
  <c r="J186" i="11"/>
  <c r="J191" i="11"/>
  <c r="T188" i="11"/>
  <c r="P186" i="11"/>
  <c r="G191" i="11"/>
  <c r="Q188" i="11"/>
  <c r="M186" i="11"/>
  <c r="N188" i="11"/>
  <c r="I186" i="11"/>
  <c r="U191" i="11"/>
  <c r="U188" i="11"/>
  <c r="T191" i="11"/>
  <c r="S188" i="11"/>
  <c r="S191" i="11"/>
  <c r="M188" i="11"/>
  <c r="U186" i="11"/>
  <c r="G121" i="11"/>
  <c r="G122" i="11"/>
  <c r="G131" i="11"/>
  <c r="M145" i="11"/>
  <c r="S159" i="11"/>
  <c r="M161" i="11"/>
  <c r="Q186" i="11"/>
  <c r="L191" i="11"/>
  <c r="O133" i="11"/>
  <c r="K131" i="11"/>
  <c r="U133" i="11"/>
  <c r="H133" i="11"/>
  <c r="N131" i="11"/>
  <c r="S133" i="11"/>
  <c r="L131" i="11"/>
  <c r="Q133" i="11"/>
  <c r="I131" i="11"/>
  <c r="G127" i="11"/>
  <c r="G134" i="11" s="1"/>
  <c r="H131" i="11"/>
  <c r="L133" i="11"/>
  <c r="U159" i="11"/>
  <c r="S161" i="11"/>
  <c r="R186" i="11"/>
  <c r="M191" i="11"/>
  <c r="G229" i="11"/>
  <c r="M147" i="11"/>
  <c r="S147" i="11"/>
  <c r="N145" i="11"/>
  <c r="O147" i="11"/>
  <c r="T145" i="11"/>
  <c r="G145" i="11"/>
  <c r="L147" i="11"/>
  <c r="R145" i="11"/>
  <c r="K147" i="11"/>
  <c r="Q145" i="11"/>
  <c r="J147" i="11"/>
  <c r="P145" i="11"/>
  <c r="G212" i="11"/>
  <c r="G219" i="11"/>
  <c r="G221" i="11" s="1"/>
  <c r="G230" i="11"/>
  <c r="G207" i="11"/>
  <c r="G232" i="11"/>
  <c r="G209" i="11"/>
  <c r="G169" i="11"/>
  <c r="G225" i="11"/>
  <c r="G120" i="11"/>
  <c r="G227" i="11"/>
  <c r="G226" i="11"/>
  <c r="G155" i="11"/>
  <c r="G162" i="11" s="1"/>
  <c r="G228" i="11"/>
  <c r="J131" i="11"/>
  <c r="M133" i="11"/>
  <c r="S145" i="11"/>
  <c r="S186" i="11"/>
  <c r="N191" i="11"/>
  <c r="G231" i="11"/>
  <c r="R161" i="11"/>
  <c r="N159" i="11"/>
  <c r="P161" i="11"/>
  <c r="L159" i="11"/>
  <c r="Q161" i="11"/>
  <c r="T159" i="11"/>
  <c r="N161" i="11"/>
  <c r="R159" i="11"/>
  <c r="O161" i="11"/>
  <c r="M159" i="11"/>
  <c r="L161" i="11"/>
  <c r="J159" i="11"/>
  <c r="K161" i="11"/>
  <c r="I159" i="11"/>
  <c r="J161" i="11"/>
  <c r="H159" i="11"/>
  <c r="H242" i="11"/>
  <c r="H194" i="11"/>
  <c r="H205" i="11"/>
  <c r="H151" i="11"/>
  <c r="H137" i="11"/>
  <c r="H123" i="11"/>
  <c r="H115" i="11"/>
  <c r="H179" i="11"/>
  <c r="I114" i="11"/>
  <c r="H116" i="11"/>
  <c r="H117" i="11"/>
  <c r="H118" i="11"/>
  <c r="M131" i="11"/>
  <c r="N133" i="11"/>
  <c r="U145" i="11"/>
  <c r="G147" i="11"/>
  <c r="U161" i="11"/>
  <c r="G183" i="11"/>
  <c r="T186" i="11"/>
  <c r="Q191" i="11"/>
  <c r="G70" i="14"/>
  <c r="D9" i="13" s="1"/>
  <c r="F9" i="13" s="1"/>
  <c r="G71" i="14"/>
  <c r="D11" i="13" s="1"/>
  <c r="F11" i="13" s="1"/>
  <c r="C48" i="12"/>
  <c r="G72" i="14"/>
  <c r="D13" i="13" s="1"/>
  <c r="F13" i="13" s="1"/>
  <c r="G73" i="14"/>
  <c r="D10" i="13" s="1"/>
  <c r="F10" i="13" s="1"/>
  <c r="G74" i="14"/>
  <c r="D12" i="13" s="1"/>
  <c r="F12" i="13" s="1"/>
  <c r="G215" i="7" l="1"/>
  <c r="G160" i="6"/>
  <c r="G162" i="6"/>
  <c r="G158" i="6"/>
  <c r="G238" i="7"/>
  <c r="G239" i="7" s="1"/>
  <c r="G239" i="10"/>
  <c r="G240" i="10"/>
  <c r="G176" i="6"/>
  <c r="G172" i="6"/>
  <c r="G174" i="6"/>
  <c r="F68" i="6"/>
  <c r="F66" i="6"/>
  <c r="F67" i="6" s="1"/>
  <c r="G185" i="9"/>
  <c r="F68" i="10"/>
  <c r="F70" i="10" s="1"/>
  <c r="G83" i="10" s="1"/>
  <c r="D84" i="13" s="1"/>
  <c r="F84" i="13" s="1"/>
  <c r="F66" i="10"/>
  <c r="F67" i="10" s="1"/>
  <c r="G80" i="10" s="1"/>
  <c r="D83" i="13" s="1"/>
  <c r="F83" i="13" s="1"/>
  <c r="I179" i="5"/>
  <c r="I123" i="5"/>
  <c r="I115" i="5"/>
  <c r="I119" i="5" s="1"/>
  <c r="I137" i="5"/>
  <c r="I194" i="5"/>
  <c r="J114" i="5"/>
  <c r="I151" i="5"/>
  <c r="I117" i="5"/>
  <c r="I165" i="5"/>
  <c r="I205" i="5"/>
  <c r="I242" i="5"/>
  <c r="I224" i="5"/>
  <c r="I116" i="5"/>
  <c r="O237" i="10"/>
  <c r="F66" i="11"/>
  <c r="F67" i="11" s="1"/>
  <c r="J80" i="11" s="1"/>
  <c r="G170" i="11" s="1"/>
  <c r="F68" i="11"/>
  <c r="F70" i="11" s="1"/>
  <c r="J83" i="11" s="1"/>
  <c r="G233" i="7"/>
  <c r="H207" i="11"/>
  <c r="H169" i="11"/>
  <c r="H209" i="11"/>
  <c r="H226" i="11"/>
  <c r="H212" i="11"/>
  <c r="H155" i="11"/>
  <c r="H183" i="11"/>
  <c r="H122" i="11"/>
  <c r="H219" i="11"/>
  <c r="H221" i="11" s="1"/>
  <c r="H127" i="11"/>
  <c r="H121" i="11"/>
  <c r="H225" i="11"/>
  <c r="N237" i="9"/>
  <c r="S237" i="10"/>
  <c r="N237" i="10"/>
  <c r="G233" i="8"/>
  <c r="H230" i="9"/>
  <c r="H227" i="9"/>
  <c r="H212" i="9"/>
  <c r="H207" i="9"/>
  <c r="H210" i="9" s="1"/>
  <c r="H219" i="9"/>
  <c r="H221" i="9" s="1"/>
  <c r="H183" i="9"/>
  <c r="H169" i="9"/>
  <c r="H155" i="9"/>
  <c r="H225" i="9"/>
  <c r="H209" i="9"/>
  <c r="H231" i="9"/>
  <c r="H229" i="9"/>
  <c r="H122" i="9"/>
  <c r="H127" i="9"/>
  <c r="H226" i="9"/>
  <c r="H141" i="9"/>
  <c r="H121" i="9"/>
  <c r="H120" i="9"/>
  <c r="H237" i="5"/>
  <c r="R237" i="7"/>
  <c r="H190" i="7"/>
  <c r="H192" i="7" s="1"/>
  <c r="G156" i="5"/>
  <c r="U237" i="7"/>
  <c r="H232" i="7"/>
  <c r="H233" i="7" s="1"/>
  <c r="I237" i="11"/>
  <c r="M237" i="11"/>
  <c r="S237" i="11"/>
  <c r="O237" i="5"/>
  <c r="N237" i="5"/>
  <c r="I212" i="9"/>
  <c r="I219" i="9"/>
  <c r="I221" i="9" s="1"/>
  <c r="I183" i="9"/>
  <c r="I230" i="9"/>
  <c r="I141" i="9"/>
  <c r="I226" i="9"/>
  <c r="I207" i="9"/>
  <c r="I210" i="9" s="1"/>
  <c r="I127" i="9"/>
  <c r="I121" i="9"/>
  <c r="I209" i="9"/>
  <c r="I169" i="9"/>
  <c r="I122" i="9"/>
  <c r="I155" i="9"/>
  <c r="I231" i="9"/>
  <c r="I229" i="9"/>
  <c r="G178" i="9"/>
  <c r="G238" i="5"/>
  <c r="U237" i="10"/>
  <c r="G190" i="9"/>
  <c r="S237" i="7"/>
  <c r="I237" i="9"/>
  <c r="Q237" i="9"/>
  <c r="J237" i="11"/>
  <c r="Q237" i="11"/>
  <c r="G134" i="8"/>
  <c r="P11" i="4"/>
  <c r="Q11" i="4" s="1"/>
  <c r="G237" i="5"/>
  <c r="H119" i="9"/>
  <c r="H228" i="9" s="1"/>
  <c r="I137" i="10"/>
  <c r="I234" i="10"/>
  <c r="I118" i="10"/>
  <c r="I179" i="10"/>
  <c r="J114" i="10"/>
  <c r="I165" i="10"/>
  <c r="I151" i="10"/>
  <c r="I117" i="10"/>
  <c r="I116" i="10"/>
  <c r="I115" i="10"/>
  <c r="I119" i="10" s="1"/>
  <c r="I123" i="10"/>
  <c r="I205" i="10"/>
  <c r="I224" i="10"/>
  <c r="I194" i="10"/>
  <c r="I242" i="10"/>
  <c r="K237" i="10"/>
  <c r="F66" i="5"/>
  <c r="F67" i="5" s="1"/>
  <c r="F68" i="5"/>
  <c r="F70" i="5" s="1"/>
  <c r="H156" i="7"/>
  <c r="H157" i="7" s="1"/>
  <c r="H164" i="7" s="1"/>
  <c r="H128" i="7"/>
  <c r="H170" i="7"/>
  <c r="H171" i="7" s="1"/>
  <c r="H142" i="7"/>
  <c r="H143" i="7" s="1"/>
  <c r="R237" i="5"/>
  <c r="H148" i="7"/>
  <c r="H238" i="7" s="1"/>
  <c r="H119" i="10"/>
  <c r="H118" i="10"/>
  <c r="H121" i="10"/>
  <c r="P237" i="11"/>
  <c r="H237" i="11"/>
  <c r="F14" i="5"/>
  <c r="C16" i="3" s="1"/>
  <c r="H122" i="10"/>
  <c r="G210" i="10"/>
  <c r="G233" i="9"/>
  <c r="I224" i="8"/>
  <c r="I117" i="8"/>
  <c r="I242" i="8"/>
  <c r="I205" i="8"/>
  <c r="I165" i="8"/>
  <c r="J114" i="8"/>
  <c r="I179" i="8"/>
  <c r="I137" i="8"/>
  <c r="I116" i="8"/>
  <c r="I194" i="8"/>
  <c r="I151" i="8"/>
  <c r="I123" i="8"/>
  <c r="I115" i="8"/>
  <c r="I119" i="8" s="1"/>
  <c r="H121" i="5"/>
  <c r="G233" i="6"/>
  <c r="S237" i="9"/>
  <c r="G210" i="11"/>
  <c r="F14" i="7"/>
  <c r="E16" i="3" s="1"/>
  <c r="N237" i="7"/>
  <c r="Q237" i="6"/>
  <c r="Q237" i="5"/>
  <c r="S237" i="5"/>
  <c r="P15" i="4"/>
  <c r="Q15" i="4" s="1"/>
  <c r="G221" i="10"/>
  <c r="I151" i="6"/>
  <c r="I205" i="6"/>
  <c r="I165" i="6"/>
  <c r="I194" i="6"/>
  <c r="J114" i="6"/>
  <c r="I242" i="6"/>
  <c r="I234" i="6"/>
  <c r="I118" i="6"/>
  <c r="I115" i="6"/>
  <c r="I119" i="6" s="1"/>
  <c r="I224" i="6"/>
  <c r="I179" i="6"/>
  <c r="I116" i="6"/>
  <c r="I117" i="6"/>
  <c r="I137" i="6"/>
  <c r="I123" i="6"/>
  <c r="G195" i="8"/>
  <c r="G129" i="8"/>
  <c r="G210" i="7"/>
  <c r="G143" i="8"/>
  <c r="M237" i="6"/>
  <c r="G178" i="5"/>
  <c r="G192" i="5"/>
  <c r="G221" i="5"/>
  <c r="G222" i="5" s="1"/>
  <c r="G142" i="5"/>
  <c r="M237" i="7"/>
  <c r="H172" i="7"/>
  <c r="H215" i="7" s="1"/>
  <c r="H222" i="7" s="1"/>
  <c r="U237" i="5"/>
  <c r="D85" i="13"/>
  <c r="F85" i="13" s="1"/>
  <c r="G170" i="10"/>
  <c r="G184" i="10"/>
  <c r="G156" i="10"/>
  <c r="G142" i="10"/>
  <c r="P237" i="9"/>
  <c r="G233" i="5"/>
  <c r="L237" i="10"/>
  <c r="G210" i="9"/>
  <c r="F68" i="9"/>
  <c r="F66" i="9"/>
  <c r="F67" i="9" s="1"/>
  <c r="D41" i="13"/>
  <c r="F41" i="13" s="1"/>
  <c r="G156" i="6"/>
  <c r="G142" i="6"/>
  <c r="G128" i="6"/>
  <c r="G170" i="6"/>
  <c r="H119" i="5"/>
  <c r="H234" i="9"/>
  <c r="H234" i="11"/>
  <c r="T237" i="10"/>
  <c r="P237" i="10"/>
  <c r="F14" i="10"/>
  <c r="H16" i="3" s="1"/>
  <c r="G162" i="10"/>
  <c r="L237" i="9"/>
  <c r="I205" i="7"/>
  <c r="I165" i="7"/>
  <c r="I224" i="7"/>
  <c r="I234" i="7"/>
  <c r="I179" i="7"/>
  <c r="I123" i="7"/>
  <c r="I151" i="7"/>
  <c r="J114" i="7"/>
  <c r="I242" i="7"/>
  <c r="I118" i="7"/>
  <c r="I137" i="7"/>
  <c r="I116" i="7"/>
  <c r="I117" i="7"/>
  <c r="I194" i="7"/>
  <c r="I115" i="7"/>
  <c r="I119" i="7" s="1"/>
  <c r="G142" i="9"/>
  <c r="N237" i="6"/>
  <c r="H232" i="8"/>
  <c r="H229" i="8"/>
  <c r="H226" i="8"/>
  <c r="H219" i="8"/>
  <c r="H221" i="8" s="1"/>
  <c r="H231" i="8"/>
  <c r="H183" i="8"/>
  <c r="H127" i="8"/>
  <c r="H121" i="8"/>
  <c r="H230" i="8"/>
  <c r="H120" i="8"/>
  <c r="H225" i="8"/>
  <c r="H233" i="8" s="1"/>
  <c r="H228" i="8"/>
  <c r="H227" i="8"/>
  <c r="H141" i="8"/>
  <c r="H169" i="8"/>
  <c r="H209" i="8"/>
  <c r="H212" i="8"/>
  <c r="H155" i="8"/>
  <c r="H122" i="8"/>
  <c r="H207" i="8"/>
  <c r="F66" i="8"/>
  <c r="F67" i="8" s="1"/>
  <c r="F68" i="8"/>
  <c r="U237" i="9"/>
  <c r="D52" i="13"/>
  <c r="F52" i="13" s="1"/>
  <c r="G142" i="7"/>
  <c r="G156" i="7"/>
  <c r="G128" i="7"/>
  <c r="G170" i="7"/>
  <c r="T237" i="5"/>
  <c r="G233" i="11"/>
  <c r="T237" i="11"/>
  <c r="U237" i="11"/>
  <c r="M237" i="5"/>
  <c r="H210" i="5"/>
  <c r="H222" i="5" s="1"/>
  <c r="J194" i="9"/>
  <c r="J205" i="9"/>
  <c r="J151" i="9"/>
  <c r="J117" i="9"/>
  <c r="J116" i="9"/>
  <c r="J123" i="9"/>
  <c r="J224" i="9"/>
  <c r="J179" i="9"/>
  <c r="J165" i="9"/>
  <c r="J137" i="9"/>
  <c r="J242" i="9"/>
  <c r="K114" i="9"/>
  <c r="J115" i="9"/>
  <c r="J119" i="9" s="1"/>
  <c r="G238" i="10"/>
  <c r="K237" i="11"/>
  <c r="G164" i="8"/>
  <c r="P237" i="5"/>
  <c r="G135" i="8"/>
  <c r="I224" i="11"/>
  <c r="I165" i="11"/>
  <c r="I194" i="11"/>
  <c r="I151" i="11"/>
  <c r="I179" i="11"/>
  <c r="I205" i="11"/>
  <c r="I115" i="11"/>
  <c r="I119" i="11" s="1"/>
  <c r="I123" i="11"/>
  <c r="I117" i="11"/>
  <c r="I242" i="11"/>
  <c r="I137" i="11"/>
  <c r="I116" i="11"/>
  <c r="J114" i="11"/>
  <c r="F68" i="7"/>
  <c r="F66" i="7"/>
  <c r="F67" i="7" s="1"/>
  <c r="F14" i="11"/>
  <c r="I16" i="3" s="1"/>
  <c r="Q237" i="10"/>
  <c r="K237" i="7"/>
  <c r="P237" i="7"/>
  <c r="R237" i="6"/>
  <c r="H237" i="7"/>
  <c r="G237" i="11"/>
  <c r="C121" i="13"/>
  <c r="H119" i="6"/>
  <c r="H122" i="6"/>
  <c r="I118" i="9"/>
  <c r="I225" i="9" s="1"/>
  <c r="C151" i="13"/>
  <c r="H119" i="11"/>
  <c r="H232" i="11" s="1"/>
  <c r="G174" i="10"/>
  <c r="G210" i="8"/>
  <c r="D96" i="13"/>
  <c r="F96" i="13" s="1"/>
  <c r="G156" i="11"/>
  <c r="G142" i="11"/>
  <c r="G128" i="11"/>
  <c r="G184" i="11"/>
  <c r="G141" i="11"/>
  <c r="H237" i="10"/>
  <c r="M237" i="10"/>
  <c r="J237" i="7"/>
  <c r="K237" i="6"/>
  <c r="M237" i="9"/>
  <c r="O237" i="7"/>
  <c r="L237" i="11"/>
  <c r="N237" i="11"/>
  <c r="R237" i="11"/>
  <c r="O237" i="11"/>
  <c r="H118" i="6"/>
  <c r="G192" i="6"/>
  <c r="H122" i="5"/>
  <c r="H240" i="7" l="1"/>
  <c r="I233" i="9"/>
  <c r="G171" i="11"/>
  <c r="G136" i="8"/>
  <c r="G196" i="8"/>
  <c r="G171" i="6"/>
  <c r="J234" i="8"/>
  <c r="J242" i="8"/>
  <c r="J117" i="8"/>
  <c r="J205" i="8"/>
  <c r="J165" i="8"/>
  <c r="J116" i="8"/>
  <c r="K114" i="8"/>
  <c r="J123" i="8"/>
  <c r="J115" i="8"/>
  <c r="J119" i="8" s="1"/>
  <c r="J224" i="8"/>
  <c r="J151" i="8"/>
  <c r="J194" i="8"/>
  <c r="J137" i="8"/>
  <c r="J179" i="8"/>
  <c r="J234" i="10"/>
  <c r="J115" i="10"/>
  <c r="J119" i="10" s="1"/>
  <c r="J194" i="10"/>
  <c r="K114" i="10"/>
  <c r="J151" i="10"/>
  <c r="J165" i="10"/>
  <c r="J117" i="10"/>
  <c r="J116" i="10"/>
  <c r="J137" i="10"/>
  <c r="J123" i="10"/>
  <c r="J179" i="10"/>
  <c r="J224" i="10"/>
  <c r="J242" i="10"/>
  <c r="J205" i="10"/>
  <c r="H120" i="10"/>
  <c r="H226" i="10"/>
  <c r="H227" i="10"/>
  <c r="H232" i="10"/>
  <c r="H228" i="10"/>
  <c r="H225" i="10"/>
  <c r="H233" i="10" s="1"/>
  <c r="H134" i="11"/>
  <c r="G143" i="6"/>
  <c r="I118" i="11"/>
  <c r="I228" i="11" s="1"/>
  <c r="G150" i="8"/>
  <c r="H148" i="9"/>
  <c r="G192" i="9"/>
  <c r="H150" i="7"/>
  <c r="H231" i="11"/>
  <c r="G143" i="9"/>
  <c r="I231" i="6"/>
  <c r="I228" i="6"/>
  <c r="I225" i="6"/>
  <c r="I183" i="6"/>
  <c r="I190" i="6" s="1"/>
  <c r="I209" i="6"/>
  <c r="I227" i="6"/>
  <c r="I212" i="6"/>
  <c r="I122" i="6"/>
  <c r="I219" i="6"/>
  <c r="I221" i="6" s="1"/>
  <c r="I226" i="6"/>
  <c r="I229" i="6"/>
  <c r="I127" i="6"/>
  <c r="I134" i="6" s="1"/>
  <c r="I155" i="6"/>
  <c r="I141" i="6"/>
  <c r="I148" i="6" s="1"/>
  <c r="I121" i="6"/>
  <c r="I192" i="6" s="1"/>
  <c r="I232" i="6"/>
  <c r="I230" i="6"/>
  <c r="I207" i="6"/>
  <c r="I120" i="6"/>
  <c r="H239" i="7"/>
  <c r="J118" i="9"/>
  <c r="J232" i="9" s="1"/>
  <c r="G171" i="7"/>
  <c r="G222" i="9"/>
  <c r="G157" i="10"/>
  <c r="H129" i="7"/>
  <c r="H195" i="7"/>
  <c r="D127" i="13" s="1"/>
  <c r="F127" i="13" s="1"/>
  <c r="I120" i="9"/>
  <c r="I176" i="9" s="1"/>
  <c r="H190" i="11"/>
  <c r="H230" i="11"/>
  <c r="I118" i="5"/>
  <c r="I232" i="5" s="1"/>
  <c r="J207" i="9"/>
  <c r="J210" i="9" s="1"/>
  <c r="J230" i="9"/>
  <c r="J141" i="9"/>
  <c r="J228" i="9"/>
  <c r="J209" i="9"/>
  <c r="J120" i="9"/>
  <c r="J219" i="9"/>
  <c r="J221" i="9" s="1"/>
  <c r="J212" i="9"/>
  <c r="J121" i="9"/>
  <c r="J229" i="9"/>
  <c r="J122" i="9"/>
  <c r="J127" i="9"/>
  <c r="J231" i="9"/>
  <c r="J169" i="9"/>
  <c r="J183" i="9"/>
  <c r="J226" i="9"/>
  <c r="J155" i="9"/>
  <c r="J162" i="9" s="1"/>
  <c r="D5" i="4"/>
  <c r="N5" i="4" s="1"/>
  <c r="P5" i="4" s="1"/>
  <c r="Q5" i="4" s="1"/>
  <c r="G80" i="5"/>
  <c r="H222" i="9"/>
  <c r="H120" i="11"/>
  <c r="G143" i="11"/>
  <c r="G237" i="8"/>
  <c r="G157" i="11"/>
  <c r="I212" i="11"/>
  <c r="I207" i="11"/>
  <c r="I225" i="11"/>
  <c r="I183" i="11"/>
  <c r="I155" i="11"/>
  <c r="I209" i="11"/>
  <c r="I229" i="11"/>
  <c r="I219" i="11"/>
  <c r="I221" i="11" s="1"/>
  <c r="I127" i="11"/>
  <c r="I226" i="11"/>
  <c r="I121" i="11"/>
  <c r="I122" i="11"/>
  <c r="I169" i="11"/>
  <c r="I227" i="9"/>
  <c r="I148" i="9"/>
  <c r="J137" i="5"/>
  <c r="J194" i="5"/>
  <c r="K114" i="5"/>
  <c r="J165" i="5"/>
  <c r="J179" i="5"/>
  <c r="J205" i="5"/>
  <c r="J123" i="5"/>
  <c r="J117" i="5"/>
  <c r="J224" i="5"/>
  <c r="J242" i="5"/>
  <c r="J116" i="5"/>
  <c r="J151" i="5"/>
  <c r="J115" i="5"/>
  <c r="J119" i="5" s="1"/>
  <c r="H120" i="6"/>
  <c r="H229" i="6"/>
  <c r="H231" i="6"/>
  <c r="H228" i="6"/>
  <c r="H230" i="6"/>
  <c r="H232" i="6"/>
  <c r="J224" i="7"/>
  <c r="J234" i="7"/>
  <c r="J179" i="7"/>
  <c r="J123" i="7"/>
  <c r="J165" i="7"/>
  <c r="J242" i="7"/>
  <c r="J118" i="7"/>
  <c r="J117" i="7"/>
  <c r="J115" i="7"/>
  <c r="J119" i="7" s="1"/>
  <c r="J205" i="7"/>
  <c r="J137" i="7"/>
  <c r="J151" i="7"/>
  <c r="J194" i="7"/>
  <c r="J116" i="7"/>
  <c r="K114" i="7"/>
  <c r="H229" i="11"/>
  <c r="I219" i="8"/>
  <c r="I221" i="8" s="1"/>
  <c r="I183" i="8"/>
  <c r="I127" i="8"/>
  <c r="I121" i="8"/>
  <c r="I141" i="8"/>
  <c r="I169" i="8"/>
  <c r="I232" i="8"/>
  <c r="I207" i="8"/>
  <c r="I209" i="8"/>
  <c r="I212" i="8"/>
  <c r="I122" i="8"/>
  <c r="I155" i="8"/>
  <c r="I231" i="8"/>
  <c r="G80" i="9"/>
  <c r="H128" i="9" s="1"/>
  <c r="D6" i="4"/>
  <c r="N6" i="4" s="1"/>
  <c r="P6" i="4" s="1"/>
  <c r="Q6" i="4" s="1"/>
  <c r="I174" i="9"/>
  <c r="H176" i="9"/>
  <c r="H174" i="9"/>
  <c r="H232" i="9"/>
  <c r="G148" i="11"/>
  <c r="G146" i="11"/>
  <c r="G144" i="11"/>
  <c r="G222" i="8"/>
  <c r="J194" i="11"/>
  <c r="J205" i="11"/>
  <c r="J151" i="11"/>
  <c r="J137" i="11"/>
  <c r="J242" i="11"/>
  <c r="J179" i="11"/>
  <c r="K114" i="11"/>
  <c r="J123" i="11"/>
  <c r="J165" i="11"/>
  <c r="J224" i="11"/>
  <c r="J115" i="11"/>
  <c r="J119" i="11" s="1"/>
  <c r="J117" i="11"/>
  <c r="J118" i="11"/>
  <c r="J116" i="11"/>
  <c r="J234" i="9"/>
  <c r="G129" i="7"/>
  <c r="G195" i="7"/>
  <c r="G185" i="10"/>
  <c r="G222" i="7"/>
  <c r="I228" i="9"/>
  <c r="G238" i="6"/>
  <c r="H190" i="9"/>
  <c r="H228" i="11"/>
  <c r="I234" i="5"/>
  <c r="G195" i="11"/>
  <c r="G129" i="11"/>
  <c r="G239" i="5"/>
  <c r="H170" i="9"/>
  <c r="H171" i="9" s="1"/>
  <c r="H178" i="9" s="1"/>
  <c r="H156" i="9"/>
  <c r="H157" i="9" s="1"/>
  <c r="H142" i="9"/>
  <c r="H143" i="9" s="1"/>
  <c r="H150" i="9" s="1"/>
  <c r="H184" i="9"/>
  <c r="H185" i="9" s="1"/>
  <c r="H172" i="9"/>
  <c r="H216" i="9" s="1"/>
  <c r="I219" i="5"/>
  <c r="I221" i="5" s="1"/>
  <c r="I209" i="5"/>
  <c r="I230" i="5"/>
  <c r="I227" i="5"/>
  <c r="I169" i="5"/>
  <c r="I122" i="5"/>
  <c r="I141" i="5"/>
  <c r="I228" i="5"/>
  <c r="I155" i="5"/>
  <c r="I183" i="5"/>
  <c r="I127" i="5"/>
  <c r="I121" i="5"/>
  <c r="I226" i="5"/>
  <c r="I120" i="5"/>
  <c r="I207" i="5"/>
  <c r="I225" i="5"/>
  <c r="K165" i="9"/>
  <c r="K242" i="9"/>
  <c r="K179" i="9"/>
  <c r="K234" i="9"/>
  <c r="K137" i="9"/>
  <c r="K116" i="9"/>
  <c r="K123" i="9"/>
  <c r="K224" i="9"/>
  <c r="K205" i="9"/>
  <c r="K194" i="9"/>
  <c r="L114" i="9"/>
  <c r="K115" i="9"/>
  <c r="K119" i="9" s="1"/>
  <c r="K151" i="9"/>
  <c r="K117" i="9"/>
  <c r="G195" i="6"/>
  <c r="G129" i="6"/>
  <c r="H142" i="8"/>
  <c r="H143" i="8" s="1"/>
  <c r="H128" i="8"/>
  <c r="J205" i="6"/>
  <c r="J165" i="6"/>
  <c r="J234" i="6"/>
  <c r="J115" i="6"/>
  <c r="J119" i="6" s="1"/>
  <c r="J151" i="6"/>
  <c r="K114" i="6"/>
  <c r="J118" i="6"/>
  <c r="J242" i="6"/>
  <c r="J194" i="6"/>
  <c r="J117" i="6"/>
  <c r="J116" i="6"/>
  <c r="J224" i="6"/>
  <c r="J179" i="6"/>
  <c r="J123" i="6"/>
  <c r="J137" i="6"/>
  <c r="C145" i="13"/>
  <c r="G157" i="6"/>
  <c r="H233" i="9"/>
  <c r="H176" i="11"/>
  <c r="G238" i="8"/>
  <c r="I232" i="9"/>
  <c r="G157" i="5"/>
  <c r="H210" i="8"/>
  <c r="H222" i="8" s="1"/>
  <c r="G143" i="10"/>
  <c r="I234" i="8"/>
  <c r="H227" i="11"/>
  <c r="G157" i="7"/>
  <c r="H148" i="8"/>
  <c r="H149" i="8"/>
  <c r="H190" i="8"/>
  <c r="H192" i="8" s="1"/>
  <c r="G171" i="10"/>
  <c r="I118" i="8"/>
  <c r="I228" i="8" s="1"/>
  <c r="I232" i="10"/>
  <c r="I229" i="10"/>
  <c r="I155" i="10"/>
  <c r="I162" i="10" s="1"/>
  <c r="I212" i="10"/>
  <c r="I207" i="10"/>
  <c r="I225" i="10"/>
  <c r="I169" i="10"/>
  <c r="I209" i="10"/>
  <c r="I141" i="10"/>
  <c r="I148" i="10" s="1"/>
  <c r="I228" i="10"/>
  <c r="I127" i="10"/>
  <c r="I134" i="10" s="1"/>
  <c r="I227" i="10"/>
  <c r="I120" i="10"/>
  <c r="I219" i="10"/>
  <c r="I221" i="10" s="1"/>
  <c r="I230" i="10"/>
  <c r="I122" i="10"/>
  <c r="I231" i="10"/>
  <c r="I226" i="10"/>
  <c r="I183" i="10"/>
  <c r="I190" i="10" s="1"/>
  <c r="I121" i="10"/>
  <c r="H162" i="11"/>
  <c r="G240" i="7"/>
  <c r="G128" i="10"/>
  <c r="H162" i="9"/>
  <c r="H176" i="8"/>
  <c r="H178" i="8" s="1"/>
  <c r="H210" i="11"/>
  <c r="H135" i="8"/>
  <c r="H134" i="8"/>
  <c r="G143" i="5"/>
  <c r="H178" i="7"/>
  <c r="I190" i="9"/>
  <c r="H134" i="9"/>
  <c r="H238" i="9" s="1"/>
  <c r="H239" i="9" s="1"/>
  <c r="G185" i="11"/>
  <c r="G216" i="10"/>
  <c r="G222" i="10" s="1"/>
  <c r="I234" i="11"/>
  <c r="G143" i="7"/>
  <c r="H162" i="8"/>
  <c r="H164" i="8" s="1"/>
  <c r="I232" i="7"/>
  <c r="I229" i="7"/>
  <c r="I226" i="7"/>
  <c r="I141" i="7"/>
  <c r="I148" i="7" s="1"/>
  <c r="I219" i="7"/>
  <c r="I221" i="7" s="1"/>
  <c r="I209" i="7"/>
  <c r="I169" i="7"/>
  <c r="I230" i="7"/>
  <c r="I225" i="7"/>
  <c r="I183" i="7"/>
  <c r="I227" i="7"/>
  <c r="I121" i="7"/>
  <c r="I127" i="7"/>
  <c r="I134" i="7" s="1"/>
  <c r="I228" i="7"/>
  <c r="I231" i="7"/>
  <c r="I155" i="7"/>
  <c r="I122" i="7"/>
  <c r="I120" i="7"/>
  <c r="I207" i="7"/>
  <c r="I212" i="7"/>
  <c r="I162" i="7"/>
  <c r="I176" i="7"/>
  <c r="I160" i="7"/>
  <c r="I174" i="7"/>
  <c r="H120" i="5"/>
  <c r="H232" i="5"/>
  <c r="H229" i="5"/>
  <c r="H231" i="5"/>
  <c r="H230" i="5"/>
  <c r="E5" i="4"/>
  <c r="G83" i="5"/>
  <c r="D29" i="13" s="1"/>
  <c r="F29" i="13" s="1"/>
  <c r="I134" i="9"/>
  <c r="G238" i="9"/>
  <c r="G215" i="6"/>
  <c r="H195" i="9" l="1"/>
  <c r="D139" i="13" s="1"/>
  <c r="H129" i="9"/>
  <c r="G196" i="6"/>
  <c r="G136" i="6"/>
  <c r="I128" i="5"/>
  <c r="I142" i="5"/>
  <c r="I143" i="5" s="1"/>
  <c r="I156" i="5"/>
  <c r="I157" i="5" s="1"/>
  <c r="I164" i="5" s="1"/>
  <c r="K115" i="5"/>
  <c r="K119" i="5" s="1"/>
  <c r="K194" i="5"/>
  <c r="L114" i="5"/>
  <c r="K118" i="5"/>
  <c r="K242" i="5"/>
  <c r="K151" i="5"/>
  <c r="K165" i="5"/>
  <c r="K234" i="5"/>
  <c r="K179" i="5"/>
  <c r="K205" i="5"/>
  <c r="K137" i="5"/>
  <c r="K123" i="5"/>
  <c r="K116" i="5"/>
  <c r="K224" i="5"/>
  <c r="K117" i="5"/>
  <c r="G192" i="10"/>
  <c r="J231" i="11"/>
  <c r="J228" i="11"/>
  <c r="J225" i="11"/>
  <c r="J230" i="11"/>
  <c r="J212" i="11"/>
  <c r="J209" i="11"/>
  <c r="J229" i="11"/>
  <c r="J232" i="11"/>
  <c r="J226" i="11"/>
  <c r="J122" i="11"/>
  <c r="J183" i="11"/>
  <c r="J121" i="11"/>
  <c r="J120" i="11"/>
  <c r="J141" i="11" s="1"/>
  <c r="J227" i="11"/>
  <c r="J169" i="11"/>
  <c r="J176" i="11" s="1"/>
  <c r="J155" i="11"/>
  <c r="J219" i="11"/>
  <c r="J221" i="11" s="1"/>
  <c r="J127" i="11"/>
  <c r="J207" i="11"/>
  <c r="J210" i="11" s="1"/>
  <c r="I148" i="8"/>
  <c r="I230" i="8"/>
  <c r="G150" i="6"/>
  <c r="I233" i="10"/>
  <c r="I240" i="10" s="1"/>
  <c r="I226" i="8"/>
  <c r="I190" i="11"/>
  <c r="G150" i="5"/>
  <c r="H150" i="8"/>
  <c r="J155" i="5"/>
  <c r="J169" i="5"/>
  <c r="J122" i="5"/>
  <c r="J207" i="5"/>
  <c r="J228" i="5"/>
  <c r="J232" i="5"/>
  <c r="J183" i="5"/>
  <c r="J231" i="5"/>
  <c r="J227" i="5"/>
  <c r="J226" i="5"/>
  <c r="J121" i="5"/>
  <c r="J209" i="5"/>
  <c r="J219" i="5"/>
  <c r="J221" i="5" s="1"/>
  <c r="J141" i="5"/>
  <c r="J127" i="5"/>
  <c r="J225" i="5"/>
  <c r="I232" i="11"/>
  <c r="G195" i="10"/>
  <c r="G129" i="10"/>
  <c r="K118" i="9"/>
  <c r="K194" i="11"/>
  <c r="K165" i="11"/>
  <c r="K234" i="11"/>
  <c r="K242" i="11"/>
  <c r="K118" i="11"/>
  <c r="K205" i="11"/>
  <c r="K123" i="11"/>
  <c r="K151" i="11"/>
  <c r="K224" i="11"/>
  <c r="L114" i="11"/>
  <c r="K115" i="11"/>
  <c r="K119" i="11" s="1"/>
  <c r="K117" i="11"/>
  <c r="K179" i="11"/>
  <c r="K137" i="11"/>
  <c r="K116" i="11"/>
  <c r="J190" i="9"/>
  <c r="G178" i="7"/>
  <c r="H233" i="5"/>
  <c r="I156" i="7"/>
  <c r="I157" i="7" s="1"/>
  <c r="I170" i="7"/>
  <c r="I171" i="7" s="1"/>
  <c r="I142" i="7"/>
  <c r="I143" i="7" s="1"/>
  <c r="I150" i="7" s="1"/>
  <c r="I128" i="7"/>
  <c r="I172" i="7"/>
  <c r="I158" i="7"/>
  <c r="I215" i="7" s="1"/>
  <c r="H233" i="6"/>
  <c r="I142" i="6"/>
  <c r="I143" i="6" s="1"/>
  <c r="I150" i="6" s="1"/>
  <c r="I128" i="6"/>
  <c r="I156" i="6"/>
  <c r="I157" i="6" s="1"/>
  <c r="I172" i="6"/>
  <c r="I158" i="6"/>
  <c r="H237" i="8"/>
  <c r="H239" i="8" s="1"/>
  <c r="H240" i="8" s="1"/>
  <c r="H192" i="9"/>
  <c r="G196" i="11"/>
  <c r="G136" i="11"/>
  <c r="G136" i="7"/>
  <c r="G196" i="7"/>
  <c r="I176" i="8"/>
  <c r="I178" i="8" s="1"/>
  <c r="I190" i="8"/>
  <c r="I192" i="8" s="1"/>
  <c r="I231" i="11"/>
  <c r="G150" i="11"/>
  <c r="J225" i="9"/>
  <c r="J118" i="10"/>
  <c r="J232" i="8"/>
  <c r="J229" i="8"/>
  <c r="J226" i="8"/>
  <c r="J230" i="8"/>
  <c r="J227" i="8"/>
  <c r="J225" i="8"/>
  <c r="J141" i="8"/>
  <c r="J120" i="8"/>
  <c r="J228" i="8"/>
  <c r="J183" i="8"/>
  <c r="J190" i="8" s="1"/>
  <c r="J121" i="8"/>
  <c r="J155" i="8"/>
  <c r="J122" i="8"/>
  <c r="J207" i="8"/>
  <c r="J219" i="8"/>
  <c r="J221" i="8" s="1"/>
  <c r="J212" i="8"/>
  <c r="J169" i="8"/>
  <c r="J209" i="8"/>
  <c r="J231" i="8"/>
  <c r="J127" i="8"/>
  <c r="G197" i="8"/>
  <c r="G198" i="8"/>
  <c r="H142" i="5"/>
  <c r="H143" i="5" s="1"/>
  <c r="H150" i="5" s="1"/>
  <c r="H156" i="5"/>
  <c r="H157" i="5" s="1"/>
  <c r="H128" i="5"/>
  <c r="H190" i="5"/>
  <c r="H192" i="5" s="1"/>
  <c r="H148" i="5"/>
  <c r="H162" i="5"/>
  <c r="H134" i="5"/>
  <c r="H176" i="5"/>
  <c r="H178" i="5" s="1"/>
  <c r="I190" i="7"/>
  <c r="I192" i="7" s="1"/>
  <c r="I170" i="10"/>
  <c r="I171" i="10" s="1"/>
  <c r="I184" i="10"/>
  <c r="I185" i="10" s="1"/>
  <c r="I192" i="10" s="1"/>
  <c r="I156" i="10"/>
  <c r="I157" i="10" s="1"/>
  <c r="I164" i="10" s="1"/>
  <c r="I142" i="10"/>
  <c r="I143" i="10" s="1"/>
  <c r="I150" i="10" s="1"/>
  <c r="I128" i="10"/>
  <c r="I172" i="10"/>
  <c r="I216" i="10" s="1"/>
  <c r="G178" i="10"/>
  <c r="K205" i="6"/>
  <c r="K165" i="6"/>
  <c r="K224" i="6"/>
  <c r="K194" i="6"/>
  <c r="K151" i="6"/>
  <c r="K117" i="6"/>
  <c r="K116" i="6"/>
  <c r="L114" i="6"/>
  <c r="K115" i="6"/>
  <c r="K119" i="6" s="1"/>
  <c r="K242" i="6"/>
  <c r="K179" i="6"/>
  <c r="K123" i="6"/>
  <c r="K137" i="6"/>
  <c r="I229" i="5"/>
  <c r="I233" i="5" s="1"/>
  <c r="I240" i="5" s="1"/>
  <c r="I162" i="5"/>
  <c r="I229" i="8"/>
  <c r="J232" i="7"/>
  <c r="J229" i="7"/>
  <c r="J226" i="7"/>
  <c r="J141" i="7"/>
  <c r="J148" i="7" s="1"/>
  <c r="J219" i="7"/>
  <c r="J221" i="7" s="1"/>
  <c r="J209" i="7"/>
  <c r="J230" i="7"/>
  <c r="J225" i="7"/>
  <c r="J183" i="7"/>
  <c r="J228" i="7"/>
  <c r="J120" i="7"/>
  <c r="J121" i="7"/>
  <c r="J127" i="7"/>
  <c r="J134" i="7" s="1"/>
  <c r="J169" i="7"/>
  <c r="J231" i="7"/>
  <c r="J122" i="7"/>
  <c r="J227" i="7"/>
  <c r="J207" i="7"/>
  <c r="J212" i="7"/>
  <c r="J162" i="7"/>
  <c r="J160" i="7"/>
  <c r="J176" i="7"/>
  <c r="J174" i="7"/>
  <c r="J234" i="5"/>
  <c r="I210" i="11"/>
  <c r="J134" i="9"/>
  <c r="J148" i="9"/>
  <c r="G164" i="10"/>
  <c r="I169" i="6"/>
  <c r="I170" i="6" s="1"/>
  <c r="I171" i="6" s="1"/>
  <c r="G150" i="9"/>
  <c r="G150" i="7"/>
  <c r="G178" i="11"/>
  <c r="I176" i="5"/>
  <c r="I178" i="5" s="1"/>
  <c r="H136" i="7"/>
  <c r="H196" i="7"/>
  <c r="I225" i="8"/>
  <c r="I176" i="11"/>
  <c r="D28" i="13"/>
  <c r="F28" i="13" s="1"/>
  <c r="G128" i="5"/>
  <c r="C115" i="13"/>
  <c r="I176" i="10"/>
  <c r="I174" i="10"/>
  <c r="I230" i="11"/>
  <c r="I160" i="6"/>
  <c r="I162" i="6"/>
  <c r="I210" i="10"/>
  <c r="I190" i="5"/>
  <c r="I192" i="5" s="1"/>
  <c r="G239" i="6"/>
  <c r="I227" i="11"/>
  <c r="I233" i="11" s="1"/>
  <c r="I233" i="6"/>
  <c r="I210" i="7"/>
  <c r="I231" i="5"/>
  <c r="G238" i="11"/>
  <c r="I120" i="11"/>
  <c r="I134" i="11" s="1"/>
  <c r="G239" i="8"/>
  <c r="G222" i="6"/>
  <c r="H238" i="8"/>
  <c r="I135" i="8"/>
  <c r="I134" i="8"/>
  <c r="J176" i="9"/>
  <c r="J174" i="9"/>
  <c r="G164" i="11"/>
  <c r="G178" i="6"/>
  <c r="H240" i="9"/>
  <c r="K207" i="9"/>
  <c r="K231" i="9"/>
  <c r="K228" i="9"/>
  <c r="K225" i="9"/>
  <c r="K232" i="9"/>
  <c r="K230" i="9"/>
  <c r="K141" i="9"/>
  <c r="K120" i="9"/>
  <c r="K219" i="9"/>
  <c r="K221" i="9" s="1"/>
  <c r="K212" i="9"/>
  <c r="K209" i="9"/>
  <c r="K121" i="9"/>
  <c r="K127" i="9"/>
  <c r="K134" i="9" s="1"/>
  <c r="K227" i="9"/>
  <c r="K229" i="9"/>
  <c r="K183" i="9"/>
  <c r="K190" i="9" s="1"/>
  <c r="K122" i="9"/>
  <c r="K226" i="9"/>
  <c r="K155" i="9"/>
  <c r="K169" i="9"/>
  <c r="D72" i="13"/>
  <c r="F72" i="13" s="1"/>
  <c r="G128" i="9"/>
  <c r="C139" i="13"/>
  <c r="K224" i="7"/>
  <c r="K234" i="7"/>
  <c r="K179" i="7"/>
  <c r="K123" i="7"/>
  <c r="K242" i="7"/>
  <c r="K117" i="7"/>
  <c r="K205" i="7"/>
  <c r="K137" i="7"/>
  <c r="K116" i="7"/>
  <c r="K151" i="7"/>
  <c r="K165" i="7"/>
  <c r="K115" i="7"/>
  <c r="K119" i="7" s="1"/>
  <c r="L114" i="7"/>
  <c r="K194" i="7"/>
  <c r="K137" i="10"/>
  <c r="K242" i="10"/>
  <c r="K151" i="10"/>
  <c r="K117" i="10"/>
  <c r="K116" i="10"/>
  <c r="K115" i="10"/>
  <c r="K119" i="10" s="1"/>
  <c r="K123" i="10"/>
  <c r="K179" i="10"/>
  <c r="K224" i="10"/>
  <c r="L114" i="10"/>
  <c r="K194" i="10"/>
  <c r="K165" i="10"/>
  <c r="K205" i="10"/>
  <c r="H233" i="11"/>
  <c r="I134" i="5"/>
  <c r="I238" i="5" s="1"/>
  <c r="I239" i="5" s="1"/>
  <c r="G164" i="6"/>
  <c r="H129" i="8"/>
  <c r="H195" i="8"/>
  <c r="D133" i="13" s="1"/>
  <c r="F133" i="13" s="1"/>
  <c r="G215" i="11"/>
  <c r="K242" i="8"/>
  <c r="K205" i="8"/>
  <c r="K165" i="8"/>
  <c r="K116" i="8"/>
  <c r="K224" i="8"/>
  <c r="K179" i="8"/>
  <c r="K123" i="8"/>
  <c r="L114" i="8"/>
  <c r="K234" i="8"/>
  <c r="K115" i="8"/>
  <c r="K119" i="8" s="1"/>
  <c r="K151" i="8"/>
  <c r="K194" i="8"/>
  <c r="K117" i="8"/>
  <c r="K137" i="8"/>
  <c r="G164" i="7"/>
  <c r="G164" i="5"/>
  <c r="J183" i="6"/>
  <c r="J190" i="6" s="1"/>
  <c r="J232" i="6"/>
  <c r="J229" i="6"/>
  <c r="J226" i="6"/>
  <c r="J228" i="6"/>
  <c r="J207" i="6"/>
  <c r="J212" i="6"/>
  <c r="J122" i="6"/>
  <c r="J219" i="6"/>
  <c r="J221" i="6" s="1"/>
  <c r="J231" i="6"/>
  <c r="J225" i="6"/>
  <c r="J230" i="6"/>
  <c r="J169" i="6"/>
  <c r="J127" i="6"/>
  <c r="J141" i="6"/>
  <c r="J121" i="6"/>
  <c r="J227" i="6"/>
  <c r="J209" i="6"/>
  <c r="J120" i="6"/>
  <c r="L242" i="9"/>
  <c r="L179" i="9"/>
  <c r="L123" i="9"/>
  <c r="L115" i="9"/>
  <c r="L119" i="9" s="1"/>
  <c r="L165" i="9"/>
  <c r="L137" i="9"/>
  <c r="L205" i="9"/>
  <c r="L194" i="9"/>
  <c r="M114" i="9"/>
  <c r="L151" i="9"/>
  <c r="L117" i="9"/>
  <c r="L116" i="9"/>
  <c r="L224" i="9"/>
  <c r="G240" i="5"/>
  <c r="J156" i="9"/>
  <c r="J157" i="9" s="1"/>
  <c r="J164" i="9" s="1"/>
  <c r="J142" i="9"/>
  <c r="J143" i="9" s="1"/>
  <c r="J150" i="9" s="1"/>
  <c r="J184" i="9"/>
  <c r="J185" i="9" s="1"/>
  <c r="J192" i="9" s="1"/>
  <c r="J128" i="9"/>
  <c r="J170" i="9"/>
  <c r="J171" i="9" s="1"/>
  <c r="J178" i="9" s="1"/>
  <c r="J172" i="9"/>
  <c r="I210" i="8"/>
  <c r="I222" i="8" s="1"/>
  <c r="G192" i="11"/>
  <c r="G150" i="10"/>
  <c r="G239" i="9"/>
  <c r="I233" i="7"/>
  <c r="J234" i="11"/>
  <c r="I227" i="8"/>
  <c r="H142" i="6"/>
  <c r="H143" i="6" s="1"/>
  <c r="H128" i="6"/>
  <c r="H169" i="6"/>
  <c r="H172" i="6"/>
  <c r="H155" i="6"/>
  <c r="H134" i="6"/>
  <c r="H148" i="6"/>
  <c r="H190" i="6"/>
  <c r="H192" i="6" s="1"/>
  <c r="I142" i="9"/>
  <c r="I143" i="9" s="1"/>
  <c r="I150" i="9" s="1"/>
  <c r="I156" i="9"/>
  <c r="I157" i="9" s="1"/>
  <c r="I184" i="9"/>
  <c r="I185" i="9" s="1"/>
  <c r="I192" i="9" s="1"/>
  <c r="I128" i="9"/>
  <c r="I172" i="9"/>
  <c r="I216" i="9" s="1"/>
  <c r="I222" i="9" s="1"/>
  <c r="I170" i="9"/>
  <c r="I171" i="9" s="1"/>
  <c r="I178" i="9" s="1"/>
  <c r="I162" i="9"/>
  <c r="I238" i="9" s="1"/>
  <c r="I239" i="9" s="1"/>
  <c r="I240" i="9" s="1"/>
  <c r="I238" i="10"/>
  <c r="I239" i="10" s="1"/>
  <c r="I210" i="5"/>
  <c r="I222" i="5" s="1"/>
  <c r="I148" i="5"/>
  <c r="H164" i="9"/>
  <c r="I120" i="8"/>
  <c r="J118" i="5"/>
  <c r="J120" i="5" s="1"/>
  <c r="H184" i="11"/>
  <c r="H185" i="11" s="1"/>
  <c r="H192" i="11" s="1"/>
  <c r="H156" i="11"/>
  <c r="H157" i="11" s="1"/>
  <c r="H164" i="11" s="1"/>
  <c r="H170" i="11"/>
  <c r="H171" i="11" s="1"/>
  <c r="H178" i="11" s="1"/>
  <c r="H128" i="11"/>
  <c r="H141" i="11"/>
  <c r="J227" i="9"/>
  <c r="I210" i="6"/>
  <c r="H184" i="10"/>
  <c r="H185" i="10" s="1"/>
  <c r="H192" i="10" s="1"/>
  <c r="H128" i="10"/>
  <c r="H170" i="10"/>
  <c r="H171" i="10" s="1"/>
  <c r="H178" i="10" s="1"/>
  <c r="H156" i="10"/>
  <c r="H157" i="10" s="1"/>
  <c r="H164" i="10" s="1"/>
  <c r="H142" i="10"/>
  <c r="H143" i="10" s="1"/>
  <c r="H150" i="10" s="1"/>
  <c r="H176" i="10"/>
  <c r="H134" i="10"/>
  <c r="H190" i="10"/>
  <c r="H174" i="10"/>
  <c r="H172" i="10"/>
  <c r="H216" i="10" s="1"/>
  <c r="H222" i="10" s="1"/>
  <c r="H162" i="10"/>
  <c r="H148" i="10"/>
  <c r="J232" i="10"/>
  <c r="J229" i="10"/>
  <c r="J230" i="10"/>
  <c r="J227" i="10"/>
  <c r="J169" i="10"/>
  <c r="J122" i="10"/>
  <c r="J225" i="10"/>
  <c r="J209" i="10"/>
  <c r="J155" i="10"/>
  <c r="J162" i="10" s="1"/>
  <c r="J141" i="10"/>
  <c r="J148" i="10" s="1"/>
  <c r="J228" i="10"/>
  <c r="J212" i="10"/>
  <c r="J127" i="10"/>
  <c r="J134" i="10" s="1"/>
  <c r="J226" i="10"/>
  <c r="J121" i="10"/>
  <c r="J207" i="10"/>
  <c r="J120" i="10"/>
  <c r="J219" i="10"/>
  <c r="J221" i="10" s="1"/>
  <c r="J231" i="10"/>
  <c r="J183" i="10"/>
  <c r="J190" i="10" s="1"/>
  <c r="J118" i="8"/>
  <c r="J148" i="11" l="1"/>
  <c r="J146" i="11"/>
  <c r="J128" i="5"/>
  <c r="J142" i="5"/>
  <c r="J143" i="5" s="1"/>
  <c r="J156" i="5"/>
  <c r="J157" i="5" s="1"/>
  <c r="L231" i="9"/>
  <c r="L141" i="9"/>
  <c r="L229" i="9"/>
  <c r="L155" i="9"/>
  <c r="L209" i="9"/>
  <c r="L219" i="9"/>
  <c r="L221" i="9" s="1"/>
  <c r="L212" i="9"/>
  <c r="L169" i="9"/>
  <c r="L207" i="9"/>
  <c r="L121" i="9"/>
  <c r="L122" i="9"/>
  <c r="L127" i="9"/>
  <c r="L183" i="9"/>
  <c r="L230" i="9"/>
  <c r="J135" i="8"/>
  <c r="J237" i="8" s="1"/>
  <c r="J134" i="8"/>
  <c r="J238" i="8" s="1"/>
  <c r="J238" i="10"/>
  <c r="J239" i="10" s="1"/>
  <c r="M242" i="9"/>
  <c r="M179" i="9"/>
  <c r="M224" i="9"/>
  <c r="M116" i="9"/>
  <c r="M115" i="9"/>
  <c r="M119" i="9" s="1"/>
  <c r="M165" i="9"/>
  <c r="M137" i="9"/>
  <c r="M205" i="9"/>
  <c r="M194" i="9"/>
  <c r="N114" i="9"/>
  <c r="M123" i="9"/>
  <c r="M151" i="9"/>
  <c r="M117" i="9"/>
  <c r="M234" i="9"/>
  <c r="J142" i="8"/>
  <c r="J143" i="8" s="1"/>
  <c r="J128" i="8"/>
  <c r="J190" i="5"/>
  <c r="J192" i="5" s="1"/>
  <c r="I129" i="5"/>
  <c r="I195" i="5"/>
  <c r="H160" i="6"/>
  <c r="H162" i="6"/>
  <c r="H238" i="6" s="1"/>
  <c r="H239" i="6" s="1"/>
  <c r="H240" i="6" s="1"/>
  <c r="G195" i="9"/>
  <c r="G129" i="9"/>
  <c r="J176" i="8"/>
  <c r="L242" i="8"/>
  <c r="L116" i="8"/>
  <c r="L224" i="8"/>
  <c r="L179" i="8"/>
  <c r="L123" i="8"/>
  <c r="L115" i="8"/>
  <c r="L119" i="8" s="1"/>
  <c r="L151" i="8"/>
  <c r="L194" i="8"/>
  <c r="M114" i="8"/>
  <c r="L205" i="8"/>
  <c r="L118" i="8"/>
  <c r="L165" i="8"/>
  <c r="L117" i="8"/>
  <c r="L137" i="8"/>
  <c r="K229" i="6"/>
  <c r="K226" i="6"/>
  <c r="K227" i="6"/>
  <c r="K219" i="6"/>
  <c r="K221" i="6" s="1"/>
  <c r="K231" i="6"/>
  <c r="K141" i="6"/>
  <c r="K230" i="6"/>
  <c r="K183" i="6"/>
  <c r="K190" i="6" s="1"/>
  <c r="K169" i="6"/>
  <c r="K155" i="6"/>
  <c r="K127" i="6"/>
  <c r="K121" i="6"/>
  <c r="K209" i="6"/>
  <c r="K122" i="6"/>
  <c r="K225" i="6"/>
  <c r="K207" i="6"/>
  <c r="K210" i="6" s="1"/>
  <c r="K120" i="6"/>
  <c r="K212" i="6"/>
  <c r="K228" i="6"/>
  <c r="J190" i="11"/>
  <c r="I237" i="8"/>
  <c r="K234" i="6"/>
  <c r="I238" i="7"/>
  <c r="I239" i="7" s="1"/>
  <c r="I195" i="10"/>
  <c r="I129" i="10"/>
  <c r="J210" i="8"/>
  <c r="J222" i="8" s="1"/>
  <c r="J230" i="5"/>
  <c r="H129" i="6"/>
  <c r="J229" i="5"/>
  <c r="J233" i="5" s="1"/>
  <c r="J240" i="5" s="1"/>
  <c r="J176" i="5"/>
  <c r="J178" i="5" s="1"/>
  <c r="I162" i="11"/>
  <c r="G198" i="7"/>
  <c r="G197" i="7"/>
  <c r="J162" i="5"/>
  <c r="J192" i="6"/>
  <c r="L234" i="10"/>
  <c r="L242" i="10"/>
  <c r="L194" i="10"/>
  <c r="M114" i="10"/>
  <c r="L151" i="10"/>
  <c r="L117" i="10"/>
  <c r="L205" i="10"/>
  <c r="L115" i="10"/>
  <c r="L119" i="10" s="1"/>
  <c r="L137" i="10"/>
  <c r="L118" i="10"/>
  <c r="L123" i="10"/>
  <c r="L179" i="10"/>
  <c r="L224" i="10"/>
  <c r="L116" i="10"/>
  <c r="L165" i="10"/>
  <c r="K162" i="9"/>
  <c r="J210" i="7"/>
  <c r="J233" i="7"/>
  <c r="J162" i="8"/>
  <c r="J233" i="9"/>
  <c r="K207" i="11"/>
  <c r="K183" i="11"/>
  <c r="K226" i="11"/>
  <c r="K232" i="11"/>
  <c r="K225" i="11"/>
  <c r="K212" i="11"/>
  <c r="K227" i="11"/>
  <c r="K155" i="11"/>
  <c r="K228" i="11"/>
  <c r="K229" i="11"/>
  <c r="K127" i="11"/>
  <c r="K121" i="11"/>
  <c r="K120" i="11"/>
  <c r="K122" i="11"/>
  <c r="K209" i="11"/>
  <c r="K169" i="11"/>
  <c r="K230" i="11"/>
  <c r="K219" i="11"/>
  <c r="K221" i="11" s="1"/>
  <c r="K231" i="11"/>
  <c r="J134" i="11"/>
  <c r="K230" i="5"/>
  <c r="K227" i="5"/>
  <c r="K169" i="5"/>
  <c r="K122" i="5"/>
  <c r="K207" i="5"/>
  <c r="K210" i="5" s="1"/>
  <c r="K222" i="5" s="1"/>
  <c r="K231" i="5"/>
  <c r="K228" i="5"/>
  <c r="K225" i="5"/>
  <c r="K232" i="5"/>
  <c r="K155" i="5"/>
  <c r="K183" i="5"/>
  <c r="K226" i="5"/>
  <c r="K121" i="5"/>
  <c r="K219" i="5"/>
  <c r="K221" i="5" s="1"/>
  <c r="K120" i="5"/>
  <c r="K229" i="5"/>
  <c r="K209" i="5"/>
  <c r="K127" i="5"/>
  <c r="K141" i="5"/>
  <c r="L137" i="5"/>
  <c r="L118" i="5"/>
  <c r="L242" i="5"/>
  <c r="L151" i="5"/>
  <c r="L234" i="5"/>
  <c r="L179" i="5"/>
  <c r="L205" i="5"/>
  <c r="M114" i="5"/>
  <c r="L194" i="5"/>
  <c r="L116" i="5"/>
  <c r="L165" i="5"/>
  <c r="L117" i="5"/>
  <c r="L115" i="5"/>
  <c r="L119" i="5" s="1"/>
  <c r="L123" i="5"/>
  <c r="L224" i="5"/>
  <c r="L234" i="7"/>
  <c r="L179" i="7"/>
  <c r="L123" i="7"/>
  <c r="L242" i="7"/>
  <c r="L137" i="7"/>
  <c r="L117" i="7"/>
  <c r="L224" i="7"/>
  <c r="L151" i="7"/>
  <c r="L205" i="7"/>
  <c r="L165" i="7"/>
  <c r="L194" i="7"/>
  <c r="M114" i="7"/>
  <c r="L115" i="7"/>
  <c r="L119" i="7" s="1"/>
  <c r="L118" i="7"/>
  <c r="L116" i="7"/>
  <c r="G239" i="11"/>
  <c r="J195" i="9"/>
  <c r="J129" i="9"/>
  <c r="J134" i="5"/>
  <c r="J238" i="5" s="1"/>
  <c r="J239" i="5" s="1"/>
  <c r="I129" i="9"/>
  <c r="I195" i="9"/>
  <c r="J233" i="6"/>
  <c r="L205" i="6"/>
  <c r="L165" i="6"/>
  <c r="L224" i="6"/>
  <c r="L179" i="6"/>
  <c r="L151" i="6"/>
  <c r="M114" i="6"/>
  <c r="L242" i="6"/>
  <c r="L117" i="6"/>
  <c r="L116" i="6"/>
  <c r="L115" i="6"/>
  <c r="L119" i="6" s="1"/>
  <c r="L123" i="6"/>
  <c r="L137" i="6"/>
  <c r="L194" i="6"/>
  <c r="J128" i="11"/>
  <c r="J156" i="11"/>
  <c r="J157" i="11" s="1"/>
  <c r="J164" i="11" s="1"/>
  <c r="J184" i="11"/>
  <c r="J185" i="11" s="1"/>
  <c r="J192" i="11" s="1"/>
  <c r="J170" i="11"/>
  <c r="J171" i="11" s="1"/>
  <c r="J178" i="11" s="1"/>
  <c r="J142" i="11"/>
  <c r="J143" i="11" s="1"/>
  <c r="J150" i="11" s="1"/>
  <c r="J144" i="11"/>
  <c r="K212" i="10"/>
  <c r="K207" i="10"/>
  <c r="K183" i="10"/>
  <c r="K127" i="10"/>
  <c r="K121" i="10"/>
  <c r="K155" i="10"/>
  <c r="K141" i="10"/>
  <c r="K228" i="10"/>
  <c r="K231" i="10"/>
  <c r="K229" i="10"/>
  <c r="K219" i="10"/>
  <c r="K221" i="10" s="1"/>
  <c r="K169" i="10"/>
  <c r="K230" i="10"/>
  <c r="K209" i="10"/>
  <c r="K232" i="10"/>
  <c r="K122" i="10"/>
  <c r="K233" i="9"/>
  <c r="G240" i="6"/>
  <c r="G129" i="5"/>
  <c r="G195" i="5"/>
  <c r="J148" i="8"/>
  <c r="J149" i="8"/>
  <c r="I164" i="9"/>
  <c r="J233" i="8"/>
  <c r="I129" i="7"/>
  <c r="I195" i="7"/>
  <c r="J156" i="7"/>
  <c r="J157" i="7" s="1"/>
  <c r="J170" i="7"/>
  <c r="J171" i="7" s="1"/>
  <c r="J142" i="7"/>
  <c r="J143" i="7" s="1"/>
  <c r="J150" i="7" s="1"/>
  <c r="J128" i="7"/>
  <c r="J172" i="7"/>
  <c r="J158" i="7"/>
  <c r="J215" i="7" s="1"/>
  <c r="G197" i="6"/>
  <c r="G198" i="6"/>
  <c r="I142" i="8"/>
  <c r="I143" i="8" s="1"/>
  <c r="I128" i="8"/>
  <c r="H176" i="6"/>
  <c r="H174" i="6"/>
  <c r="H136" i="8"/>
  <c r="H196" i="8"/>
  <c r="K118" i="10"/>
  <c r="K226" i="10" s="1"/>
  <c r="G240" i="8"/>
  <c r="H238" i="5"/>
  <c r="H239" i="5" s="1"/>
  <c r="H240" i="5" s="1"/>
  <c r="H146" i="11"/>
  <c r="H148" i="11"/>
  <c r="H238" i="11" s="1"/>
  <c r="H239" i="11" s="1"/>
  <c r="I222" i="10"/>
  <c r="G240" i="9"/>
  <c r="K118" i="7"/>
  <c r="K184" i="9"/>
  <c r="K185" i="9" s="1"/>
  <c r="K192" i="9" s="1"/>
  <c r="K156" i="9"/>
  <c r="K157" i="9" s="1"/>
  <c r="K164" i="9" s="1"/>
  <c r="K128" i="9"/>
  <c r="K170" i="9"/>
  <c r="K171" i="9" s="1"/>
  <c r="K172" i="9"/>
  <c r="K142" i="9"/>
  <c r="K143" i="9" s="1"/>
  <c r="K150" i="9" s="1"/>
  <c r="H198" i="7"/>
  <c r="H197" i="7"/>
  <c r="J238" i="9"/>
  <c r="J239" i="9" s="1"/>
  <c r="K118" i="6"/>
  <c r="K232" i="6" s="1"/>
  <c r="I164" i="6"/>
  <c r="J233" i="10"/>
  <c r="H142" i="11"/>
  <c r="H143" i="11" s="1"/>
  <c r="J184" i="10"/>
  <c r="J185" i="10" s="1"/>
  <c r="J192" i="10" s="1"/>
  <c r="J128" i="10"/>
  <c r="J172" i="10"/>
  <c r="J216" i="10" s="1"/>
  <c r="J170" i="10"/>
  <c r="J171" i="10" s="1"/>
  <c r="J178" i="10" s="1"/>
  <c r="J156" i="10"/>
  <c r="J157" i="10" s="1"/>
  <c r="J164" i="10" s="1"/>
  <c r="J142" i="10"/>
  <c r="J143" i="10" s="1"/>
  <c r="J150" i="10" s="1"/>
  <c r="H238" i="10"/>
  <c r="H239" i="10" s="1"/>
  <c r="H240" i="10" s="1"/>
  <c r="H129" i="11"/>
  <c r="H156" i="6"/>
  <c r="H157" i="6" s="1"/>
  <c r="L118" i="9"/>
  <c r="L226" i="9" s="1"/>
  <c r="J148" i="6"/>
  <c r="K230" i="8"/>
  <c r="K141" i="8"/>
  <c r="K120" i="8"/>
  <c r="K209" i="8"/>
  <c r="K121" i="8"/>
  <c r="K229" i="8"/>
  <c r="K155" i="8"/>
  <c r="K162" i="8" s="1"/>
  <c r="K122" i="8"/>
  <c r="K207" i="8"/>
  <c r="K212" i="8"/>
  <c r="K127" i="8"/>
  <c r="K232" i="8"/>
  <c r="K169" i="8"/>
  <c r="K219" i="8"/>
  <c r="K221" i="8" s="1"/>
  <c r="K183" i="8"/>
  <c r="K190" i="8" s="1"/>
  <c r="K231" i="8"/>
  <c r="K148" i="9"/>
  <c r="I178" i="10"/>
  <c r="H195" i="5"/>
  <c r="D115" i="13" s="1"/>
  <c r="F115" i="13" s="1"/>
  <c r="H129" i="5"/>
  <c r="I195" i="6"/>
  <c r="I129" i="6"/>
  <c r="H136" i="9"/>
  <c r="H196" i="9"/>
  <c r="J176" i="6"/>
  <c r="J174" i="6"/>
  <c r="G198" i="11"/>
  <c r="G197" i="11"/>
  <c r="H240" i="11"/>
  <c r="G196" i="10"/>
  <c r="G136" i="10"/>
  <c r="I150" i="5"/>
  <c r="J148" i="5"/>
  <c r="H129" i="10"/>
  <c r="H195" i="10"/>
  <c r="D145" i="13" s="1"/>
  <c r="F145" i="13" s="1"/>
  <c r="G222" i="11"/>
  <c r="J233" i="11"/>
  <c r="H158" i="6"/>
  <c r="I240" i="7"/>
  <c r="J142" i="6"/>
  <c r="J143" i="6" s="1"/>
  <c r="J156" i="6"/>
  <c r="J157" i="6" s="1"/>
  <c r="J128" i="6"/>
  <c r="J170" i="6"/>
  <c r="J171" i="6" s="1"/>
  <c r="J172" i="6"/>
  <c r="J158" i="6"/>
  <c r="G199" i="8"/>
  <c r="G203" i="8" s="1"/>
  <c r="J210" i="5"/>
  <c r="J222" i="5" s="1"/>
  <c r="K210" i="9"/>
  <c r="I222" i="7"/>
  <c r="I233" i="8"/>
  <c r="I178" i="7"/>
  <c r="J155" i="6"/>
  <c r="K219" i="7"/>
  <c r="K221" i="7" s="1"/>
  <c r="K209" i="7"/>
  <c r="K155" i="7"/>
  <c r="K230" i="7"/>
  <c r="K227" i="7"/>
  <c r="K226" i="7"/>
  <c r="K225" i="7"/>
  <c r="K183" i="7"/>
  <c r="K127" i="7"/>
  <c r="K134" i="7" s="1"/>
  <c r="K229" i="7"/>
  <c r="K231" i="7"/>
  <c r="K207" i="7"/>
  <c r="K210" i="7" s="1"/>
  <c r="K122" i="7"/>
  <c r="K121" i="7"/>
  <c r="K169" i="7"/>
  <c r="K174" i="7"/>
  <c r="K228" i="7"/>
  <c r="K232" i="7"/>
  <c r="K120" i="7"/>
  <c r="K141" i="7"/>
  <c r="K212" i="7"/>
  <c r="K160" i="7"/>
  <c r="K176" i="7"/>
  <c r="K162" i="7"/>
  <c r="I156" i="11"/>
  <c r="I157" i="11" s="1"/>
  <c r="I128" i="11"/>
  <c r="I184" i="11"/>
  <c r="I185" i="11" s="1"/>
  <c r="I192" i="11" s="1"/>
  <c r="I170" i="11"/>
  <c r="I171" i="11" s="1"/>
  <c r="I178" i="11" s="1"/>
  <c r="I141" i="11"/>
  <c r="I164" i="7"/>
  <c r="H144" i="11"/>
  <c r="H215" i="11" s="1"/>
  <c r="H222" i="11" s="1"/>
  <c r="H170" i="6"/>
  <c r="H171" i="6" s="1"/>
  <c r="J210" i="6"/>
  <c r="K234" i="10"/>
  <c r="K176" i="9"/>
  <c r="K238" i="9" s="1"/>
  <c r="K239" i="9" s="1"/>
  <c r="K174" i="9"/>
  <c r="J190" i="7"/>
  <c r="J192" i="7" s="1"/>
  <c r="H150" i="6"/>
  <c r="J210" i="10"/>
  <c r="J174" i="10"/>
  <c r="J176" i="10"/>
  <c r="J216" i="9"/>
  <c r="J222" i="9" s="1"/>
  <c r="L234" i="9"/>
  <c r="J134" i="6"/>
  <c r="K118" i="8"/>
  <c r="K227" i="8" s="1"/>
  <c r="I162" i="8"/>
  <c r="I164" i="8" s="1"/>
  <c r="I176" i="6"/>
  <c r="I238" i="6" s="1"/>
  <c r="I239" i="6" s="1"/>
  <c r="I240" i="6" s="1"/>
  <c r="I174" i="6"/>
  <c r="I215" i="6" s="1"/>
  <c r="I222" i="6" s="1"/>
  <c r="J155" i="7"/>
  <c r="H164" i="5"/>
  <c r="J178" i="8"/>
  <c r="J164" i="8"/>
  <c r="J192" i="8"/>
  <c r="L205" i="11"/>
  <c r="L242" i="11"/>
  <c r="L194" i="11"/>
  <c r="L151" i="11"/>
  <c r="L179" i="11"/>
  <c r="L117" i="11"/>
  <c r="L224" i="11"/>
  <c r="L165" i="11"/>
  <c r="L115" i="11"/>
  <c r="L119" i="11" s="1"/>
  <c r="L137" i="11"/>
  <c r="L116" i="11"/>
  <c r="L123" i="11"/>
  <c r="M114" i="11"/>
  <c r="I149" i="8"/>
  <c r="J162" i="11"/>
  <c r="F139" i="13"/>
  <c r="K233" i="7" l="1"/>
  <c r="I196" i="7"/>
  <c r="I136" i="7"/>
  <c r="K240" i="9"/>
  <c r="K156" i="11"/>
  <c r="K157" i="11" s="1"/>
  <c r="K128" i="11"/>
  <c r="K184" i="11"/>
  <c r="K185" i="11" s="1"/>
  <c r="K192" i="11" s="1"/>
  <c r="K170" i="11"/>
  <c r="K171" i="11" s="1"/>
  <c r="K164" i="8"/>
  <c r="K178" i="8"/>
  <c r="K192" i="8"/>
  <c r="K190" i="11"/>
  <c r="J129" i="7"/>
  <c r="J195" i="7"/>
  <c r="J129" i="11"/>
  <c r="J195" i="11"/>
  <c r="M242" i="7"/>
  <c r="M137" i="7"/>
  <c r="M194" i="7"/>
  <c r="M179" i="7"/>
  <c r="M117" i="7"/>
  <c r="M224" i="7"/>
  <c r="M205" i="7"/>
  <c r="M116" i="7"/>
  <c r="M151" i="7"/>
  <c r="M165" i="7"/>
  <c r="M123" i="7"/>
  <c r="N114" i="7"/>
  <c r="M115" i="7"/>
  <c r="M119" i="7" s="1"/>
  <c r="I239" i="8"/>
  <c r="I240" i="8" s="1"/>
  <c r="L227" i="9"/>
  <c r="K128" i="8"/>
  <c r="K142" i="8"/>
  <c r="K143" i="8" s="1"/>
  <c r="K129" i="9"/>
  <c r="K195" i="9"/>
  <c r="J164" i="5"/>
  <c r="K222" i="9"/>
  <c r="J164" i="6"/>
  <c r="I196" i="6"/>
  <c r="I136" i="6"/>
  <c r="K148" i="8"/>
  <c r="K149" i="8"/>
  <c r="H150" i="11"/>
  <c r="J178" i="7"/>
  <c r="K120" i="10"/>
  <c r="I196" i="10"/>
  <c r="I136" i="10"/>
  <c r="J129" i="8"/>
  <c r="J195" i="8"/>
  <c r="K228" i="8"/>
  <c r="H195" i="11"/>
  <c r="D151" i="13" s="1"/>
  <c r="F151" i="13" s="1"/>
  <c r="J240" i="10"/>
  <c r="J164" i="7"/>
  <c r="K210" i="10"/>
  <c r="L207" i="5"/>
  <c r="L210" i="5" s="1"/>
  <c r="L222" i="5" s="1"/>
  <c r="L231" i="5"/>
  <c r="L228" i="5"/>
  <c r="L225" i="5"/>
  <c r="L183" i="5"/>
  <c r="L190" i="5" s="1"/>
  <c r="L127" i="5"/>
  <c r="L134" i="5" s="1"/>
  <c r="L121" i="5"/>
  <c r="L232" i="5"/>
  <c r="L155" i="5"/>
  <c r="L162" i="5" s="1"/>
  <c r="L169" i="5"/>
  <c r="L176" i="5" s="1"/>
  <c r="L219" i="5"/>
  <c r="L221" i="5" s="1"/>
  <c r="L227" i="5"/>
  <c r="L226" i="5"/>
  <c r="L120" i="5"/>
  <c r="L229" i="5"/>
  <c r="L141" i="5"/>
  <c r="L148" i="5" s="1"/>
  <c r="L122" i="5"/>
  <c r="L209" i="5"/>
  <c r="L230" i="5"/>
  <c r="K233" i="6"/>
  <c r="J150" i="8"/>
  <c r="L234" i="11"/>
  <c r="H178" i="6"/>
  <c r="J162" i="6"/>
  <c r="J160" i="6"/>
  <c r="J215" i="6" s="1"/>
  <c r="J222" i="6" s="1"/>
  <c r="K226" i="8"/>
  <c r="H196" i="11"/>
  <c r="H136" i="11"/>
  <c r="I195" i="8"/>
  <c r="I129" i="8"/>
  <c r="K227" i="10"/>
  <c r="K190" i="5"/>
  <c r="K141" i="11"/>
  <c r="K142" i="11" s="1"/>
  <c r="K143" i="11" s="1"/>
  <c r="K162" i="11"/>
  <c r="J240" i="9"/>
  <c r="M116" i="8"/>
  <c r="M242" i="8"/>
  <c r="M224" i="8"/>
  <c r="M179" i="8"/>
  <c r="M123" i="8"/>
  <c r="M115" i="8"/>
  <c r="M119" i="8" s="1"/>
  <c r="M234" i="8"/>
  <c r="M151" i="8"/>
  <c r="M194" i="8"/>
  <c r="M205" i="8"/>
  <c r="M137" i="8"/>
  <c r="M117" i="8"/>
  <c r="M165" i="8"/>
  <c r="N114" i="8"/>
  <c r="L210" i="9"/>
  <c r="L225" i="9"/>
  <c r="G199" i="6"/>
  <c r="L118" i="11"/>
  <c r="L120" i="11" s="1"/>
  <c r="I196" i="9"/>
  <c r="I136" i="9"/>
  <c r="K176" i="6"/>
  <c r="K174" i="6"/>
  <c r="K128" i="5"/>
  <c r="K156" i="5"/>
  <c r="K157" i="5" s="1"/>
  <c r="K142" i="5"/>
  <c r="K143" i="5" s="1"/>
  <c r="N205" i="9"/>
  <c r="N242" i="9"/>
  <c r="N179" i="9"/>
  <c r="N224" i="9"/>
  <c r="N137" i="9"/>
  <c r="N123" i="9"/>
  <c r="N115" i="9"/>
  <c r="N119" i="9" s="1"/>
  <c r="O114" i="9"/>
  <c r="N194" i="9"/>
  <c r="N116" i="9"/>
  <c r="N165" i="9"/>
  <c r="N151" i="9"/>
  <c r="N117" i="9"/>
  <c r="J195" i="10"/>
  <c r="J129" i="10"/>
  <c r="I136" i="5"/>
  <c r="I196" i="5"/>
  <c r="I148" i="11"/>
  <c r="I238" i="11" s="1"/>
  <c r="I239" i="11" s="1"/>
  <c r="I240" i="11" s="1"/>
  <c r="I146" i="11"/>
  <c r="K192" i="7"/>
  <c r="H198" i="8"/>
  <c r="H197" i="8"/>
  <c r="H199" i="8" s="1"/>
  <c r="H202" i="8" s="1"/>
  <c r="H243" i="8" s="1"/>
  <c r="K134" i="11"/>
  <c r="I144" i="11"/>
  <c r="H164" i="6"/>
  <c r="I238" i="8"/>
  <c r="L234" i="6"/>
  <c r="K192" i="5"/>
  <c r="K210" i="11"/>
  <c r="K156" i="6"/>
  <c r="K157" i="6" s="1"/>
  <c r="K170" i="6"/>
  <c r="K171" i="6" s="1"/>
  <c r="K128" i="6"/>
  <c r="K142" i="6"/>
  <c r="K143" i="6" s="1"/>
  <c r="K172" i="6"/>
  <c r="K158" i="6"/>
  <c r="J222" i="10"/>
  <c r="I142" i="11"/>
  <c r="I143" i="11" s="1"/>
  <c r="I150" i="11" s="1"/>
  <c r="G199" i="11"/>
  <c r="G203" i="11" s="1"/>
  <c r="K176" i="8"/>
  <c r="J239" i="8"/>
  <c r="J240" i="8" s="1"/>
  <c r="L232" i="9"/>
  <c r="J150" i="5"/>
  <c r="J238" i="6"/>
  <c r="J239" i="6" s="1"/>
  <c r="J150" i="6"/>
  <c r="K225" i="8"/>
  <c r="K233" i="8" s="1"/>
  <c r="J238" i="11"/>
  <c r="J239" i="11" s="1"/>
  <c r="J240" i="11" s="1"/>
  <c r="L230" i="10"/>
  <c r="L227" i="10"/>
  <c r="L169" i="10"/>
  <c r="L122" i="10"/>
  <c r="L225" i="10"/>
  <c r="L232" i="10"/>
  <c r="L229" i="10"/>
  <c r="L228" i="10"/>
  <c r="L226" i="10"/>
  <c r="L212" i="10"/>
  <c r="L127" i="10"/>
  <c r="L134" i="10" s="1"/>
  <c r="L231" i="10"/>
  <c r="L219" i="10"/>
  <c r="L221" i="10" s="1"/>
  <c r="L121" i="10"/>
  <c r="L120" i="10"/>
  <c r="L141" i="10"/>
  <c r="L148" i="10" s="1"/>
  <c r="L209" i="10"/>
  <c r="L183" i="10"/>
  <c r="L190" i="10" s="1"/>
  <c r="L155" i="10"/>
  <c r="L162" i="10" s="1"/>
  <c r="L207" i="10"/>
  <c r="L210" i="10" s="1"/>
  <c r="J195" i="5"/>
  <c r="J129" i="5"/>
  <c r="M205" i="11"/>
  <c r="M165" i="11"/>
  <c r="M151" i="11"/>
  <c r="M118" i="11"/>
  <c r="M194" i="11"/>
  <c r="M224" i="11"/>
  <c r="N114" i="11"/>
  <c r="M242" i="11"/>
  <c r="M116" i="11"/>
  <c r="M117" i="11"/>
  <c r="M115" i="11"/>
  <c r="M119" i="11" s="1"/>
  <c r="M179" i="11"/>
  <c r="M234" i="11"/>
  <c r="M137" i="11"/>
  <c r="M123" i="11"/>
  <c r="I129" i="11"/>
  <c r="K148" i="7"/>
  <c r="J238" i="7"/>
  <c r="J239" i="7" s="1"/>
  <c r="J240" i="7" s="1"/>
  <c r="K135" i="8"/>
  <c r="K134" i="8"/>
  <c r="K238" i="8" s="1"/>
  <c r="I150" i="8"/>
  <c r="L118" i="6"/>
  <c r="L120" i="6" s="1"/>
  <c r="K148" i="5"/>
  <c r="K162" i="5"/>
  <c r="M242" i="10"/>
  <c r="M118" i="10"/>
  <c r="M205" i="10"/>
  <c r="M165" i="10"/>
  <c r="M137" i="10"/>
  <c r="M123" i="10"/>
  <c r="M224" i="10"/>
  <c r="N114" i="10"/>
  <c r="M194" i="10"/>
  <c r="M151" i="10"/>
  <c r="M117" i="10"/>
  <c r="M116" i="10"/>
  <c r="M179" i="10"/>
  <c r="M115" i="10"/>
  <c r="M119" i="10" s="1"/>
  <c r="G199" i="7"/>
  <c r="G136" i="9"/>
  <c r="G196" i="9"/>
  <c r="M118" i="9"/>
  <c r="M227" i="9" s="1"/>
  <c r="L120" i="9"/>
  <c r="L148" i="9" s="1"/>
  <c r="L228" i="9"/>
  <c r="G202" i="8"/>
  <c r="G198" i="10"/>
  <c r="G197" i="10"/>
  <c r="H198" i="9"/>
  <c r="H197" i="9"/>
  <c r="H199" i="9" s="1"/>
  <c r="H202" i="9" s="1"/>
  <c r="H243" i="9" s="1"/>
  <c r="H203" i="7"/>
  <c r="L232" i="6"/>
  <c r="L229" i="6"/>
  <c r="L226" i="6"/>
  <c r="L141" i="6"/>
  <c r="L219" i="6"/>
  <c r="L221" i="6" s="1"/>
  <c r="L209" i="6"/>
  <c r="L212" i="6"/>
  <c r="L122" i="6"/>
  <c r="L231" i="6"/>
  <c r="L230" i="6"/>
  <c r="L127" i="6"/>
  <c r="L121" i="6"/>
  <c r="L225" i="6"/>
  <c r="L233" i="6" s="1"/>
  <c r="L207" i="6"/>
  <c r="L227" i="6"/>
  <c r="L183" i="6"/>
  <c r="L228" i="6"/>
  <c r="K160" i="6"/>
  <c r="K162" i="6"/>
  <c r="H196" i="5"/>
  <c r="H136" i="5"/>
  <c r="M224" i="6"/>
  <c r="M234" i="6"/>
  <c r="M179" i="6"/>
  <c r="M118" i="6"/>
  <c r="M242" i="6"/>
  <c r="M165" i="6"/>
  <c r="M117" i="6"/>
  <c r="M194" i="6"/>
  <c r="M115" i="6"/>
  <c r="M119" i="6" s="1"/>
  <c r="N114" i="6"/>
  <c r="M123" i="6"/>
  <c r="M116" i="6"/>
  <c r="M137" i="6"/>
  <c r="M205" i="6"/>
  <c r="M151" i="6"/>
  <c r="J222" i="7"/>
  <c r="K216" i="9"/>
  <c r="I178" i="6"/>
  <c r="L231" i="11"/>
  <c r="L228" i="11"/>
  <c r="L225" i="11"/>
  <c r="L207" i="11"/>
  <c r="L210" i="11" s="1"/>
  <c r="L229" i="11"/>
  <c r="L232" i="11"/>
  <c r="L209" i="11"/>
  <c r="L122" i="11"/>
  <c r="L183" i="11"/>
  <c r="L226" i="11"/>
  <c r="L169" i="11"/>
  <c r="L227" i="11"/>
  <c r="L155" i="11"/>
  <c r="L212" i="11"/>
  <c r="L230" i="11"/>
  <c r="L219" i="11"/>
  <c r="L221" i="11" s="1"/>
  <c r="L127" i="11"/>
  <c r="L121" i="11"/>
  <c r="J178" i="6"/>
  <c r="H196" i="10"/>
  <c r="H136" i="10"/>
  <c r="K178" i="9"/>
  <c r="K176" i="5"/>
  <c r="K178" i="5" s="1"/>
  <c r="L230" i="8"/>
  <c r="L227" i="8"/>
  <c r="L225" i="8"/>
  <c r="L141" i="8"/>
  <c r="L120" i="8"/>
  <c r="L209" i="8"/>
  <c r="L229" i="8"/>
  <c r="L155" i="8"/>
  <c r="L162" i="8" s="1"/>
  <c r="L121" i="8"/>
  <c r="L122" i="8"/>
  <c r="L226" i="8"/>
  <c r="L232" i="8"/>
  <c r="L212" i="8"/>
  <c r="L127" i="8"/>
  <c r="L183" i="8"/>
  <c r="L231" i="8"/>
  <c r="L228" i="8"/>
  <c r="L169" i="8"/>
  <c r="L176" i="8" s="1"/>
  <c r="L219" i="8"/>
  <c r="L221" i="8" s="1"/>
  <c r="L207" i="8"/>
  <c r="L210" i="8" s="1"/>
  <c r="L222" i="8" s="1"/>
  <c r="J195" i="6"/>
  <c r="J129" i="6"/>
  <c r="J136" i="9"/>
  <c r="J196" i="9"/>
  <c r="K148" i="6"/>
  <c r="L234" i="8"/>
  <c r="I164" i="11"/>
  <c r="K238" i="7"/>
  <c r="K239" i="7" s="1"/>
  <c r="H215" i="6"/>
  <c r="H222" i="6" s="1"/>
  <c r="J240" i="6"/>
  <c r="L219" i="7"/>
  <c r="L221" i="7" s="1"/>
  <c r="L209" i="7"/>
  <c r="L230" i="7"/>
  <c r="L227" i="7"/>
  <c r="L212" i="7"/>
  <c r="L183" i="7"/>
  <c r="L229" i="7"/>
  <c r="L228" i="7"/>
  <c r="L121" i="7"/>
  <c r="L226" i="7"/>
  <c r="L231" i="7"/>
  <c r="L207" i="7"/>
  <c r="L210" i="7" s="1"/>
  <c r="L122" i="7"/>
  <c r="L174" i="7"/>
  <c r="L160" i="7"/>
  <c r="L127" i="7"/>
  <c r="L232" i="7"/>
  <c r="L225" i="7"/>
  <c r="L120" i="7"/>
  <c r="L155" i="7" s="1"/>
  <c r="L169" i="7"/>
  <c r="L141" i="7"/>
  <c r="L176" i="7"/>
  <c r="L162" i="7"/>
  <c r="K134" i="5"/>
  <c r="G203" i="7"/>
  <c r="H195" i="6"/>
  <c r="D121" i="13" s="1"/>
  <c r="F121" i="13" s="1"/>
  <c r="K192" i="6"/>
  <c r="K170" i="7"/>
  <c r="K171" i="7" s="1"/>
  <c r="K178" i="7" s="1"/>
  <c r="K142" i="7"/>
  <c r="K143" i="7" s="1"/>
  <c r="K156" i="7"/>
  <c r="K157" i="7" s="1"/>
  <c r="K128" i="7"/>
  <c r="K158" i="7"/>
  <c r="K172" i="7"/>
  <c r="K190" i="7"/>
  <c r="K210" i="8"/>
  <c r="K222" i="8" s="1"/>
  <c r="H199" i="7"/>
  <c r="H202" i="7" s="1"/>
  <c r="H243" i="7" s="1"/>
  <c r="G203" i="6"/>
  <c r="G136" i="5"/>
  <c r="G196" i="5"/>
  <c r="K225" i="10"/>
  <c r="K233" i="10" s="1"/>
  <c r="J215" i="11"/>
  <c r="J222" i="11" s="1"/>
  <c r="G240" i="11"/>
  <c r="M194" i="5"/>
  <c r="N114" i="5"/>
  <c r="M242" i="5"/>
  <c r="M151" i="5"/>
  <c r="M117" i="5"/>
  <c r="M179" i="5"/>
  <c r="M123" i="5"/>
  <c r="M205" i="5"/>
  <c r="M115" i="5"/>
  <c r="M119" i="5" s="1"/>
  <c r="M116" i="5"/>
  <c r="M137" i="5"/>
  <c r="M224" i="5"/>
  <c r="M165" i="5"/>
  <c r="K233" i="5"/>
  <c r="K176" i="11"/>
  <c r="K233" i="11"/>
  <c r="H136" i="6"/>
  <c r="H196" i="6"/>
  <c r="K134" i="6"/>
  <c r="M229" i="9"/>
  <c r="M155" i="9"/>
  <c r="M212" i="9"/>
  <c r="M120" i="9"/>
  <c r="M226" i="9"/>
  <c r="M209" i="9"/>
  <c r="M169" i="9"/>
  <c r="M121" i="9"/>
  <c r="M230" i="9"/>
  <c r="M141" i="9"/>
  <c r="M231" i="9"/>
  <c r="M219" i="9"/>
  <c r="M221" i="9" s="1"/>
  <c r="M207" i="9"/>
  <c r="M127" i="9"/>
  <c r="M228" i="9"/>
  <c r="M183" i="9"/>
  <c r="M190" i="9" s="1"/>
  <c r="M122" i="9"/>
  <c r="L128" i="6" l="1"/>
  <c r="L142" i="6"/>
  <c r="L143" i="6" s="1"/>
  <c r="L150" i="6" s="1"/>
  <c r="L170" i="6"/>
  <c r="L171" i="6" s="1"/>
  <c r="L172" i="6"/>
  <c r="L155" i="6"/>
  <c r="L158" i="6" s="1"/>
  <c r="L169" i="6"/>
  <c r="L156" i="11"/>
  <c r="L157" i="11" s="1"/>
  <c r="L128" i="11"/>
  <c r="L184" i="11"/>
  <c r="L185" i="11" s="1"/>
  <c r="L170" i="11"/>
  <c r="L171" i="11" s="1"/>
  <c r="L141" i="11"/>
  <c r="L144" i="11" s="1"/>
  <c r="M230" i="10"/>
  <c r="M227" i="10"/>
  <c r="M207" i="10"/>
  <c r="M183" i="10"/>
  <c r="M127" i="10"/>
  <c r="M121" i="10"/>
  <c r="M232" i="10"/>
  <c r="M229" i="10"/>
  <c r="M226" i="10"/>
  <c r="M212" i="10"/>
  <c r="M231" i="10"/>
  <c r="M219" i="10"/>
  <c r="M221" i="10" s="1"/>
  <c r="M120" i="10"/>
  <c r="M122" i="10"/>
  <c r="M141" i="10"/>
  <c r="M209" i="10"/>
  <c r="M228" i="10"/>
  <c r="M225" i="10"/>
  <c r="M169" i="10"/>
  <c r="M155" i="10"/>
  <c r="M162" i="10" s="1"/>
  <c r="L238" i="10"/>
  <c r="L239" i="10" s="1"/>
  <c r="D71" i="13"/>
  <c r="F71" i="13" s="1"/>
  <c r="H245" i="8"/>
  <c r="H244" i="8"/>
  <c r="F22" i="3" s="1"/>
  <c r="M227" i="7"/>
  <c r="M212" i="7"/>
  <c r="M122" i="7"/>
  <c r="M207" i="7"/>
  <c r="M210" i="7" s="1"/>
  <c r="M225" i="7"/>
  <c r="M127" i="7"/>
  <c r="M174" i="7"/>
  <c r="M209" i="7"/>
  <c r="M121" i="7"/>
  <c r="M226" i="7"/>
  <c r="M183" i="7"/>
  <c r="M219" i="7"/>
  <c r="M221" i="7" s="1"/>
  <c r="M141" i="7"/>
  <c r="M162" i="7"/>
  <c r="M160" i="7"/>
  <c r="M176" i="7"/>
  <c r="N118" i="5"/>
  <c r="N117" i="5"/>
  <c r="N205" i="5"/>
  <c r="N165" i="5"/>
  <c r="N234" i="5"/>
  <c r="N179" i="5"/>
  <c r="N115" i="5"/>
  <c r="N119" i="5" s="1"/>
  <c r="N116" i="5"/>
  <c r="N123" i="5"/>
  <c r="N224" i="5"/>
  <c r="O114" i="5"/>
  <c r="N194" i="5"/>
  <c r="N151" i="5"/>
  <c r="N137" i="5"/>
  <c r="N242" i="5"/>
  <c r="G198" i="5"/>
  <c r="G197" i="5"/>
  <c r="H203" i="8"/>
  <c r="I136" i="8"/>
  <c r="I196" i="8"/>
  <c r="K142" i="10"/>
  <c r="K143" i="10" s="1"/>
  <c r="K150" i="10" s="1"/>
  <c r="K170" i="10"/>
  <c r="K171" i="10" s="1"/>
  <c r="K156" i="10"/>
  <c r="K157" i="10" s="1"/>
  <c r="K128" i="10"/>
  <c r="K184" i="10"/>
  <c r="K185" i="10" s="1"/>
  <c r="K192" i="10" s="1"/>
  <c r="K172" i="10"/>
  <c r="K216" i="10" s="1"/>
  <c r="K222" i="10" s="1"/>
  <c r="K164" i="11"/>
  <c r="M210" i="9"/>
  <c r="L233" i="11"/>
  <c r="D82" i="13"/>
  <c r="F82" i="13" s="1"/>
  <c r="H244" i="9"/>
  <c r="G22" i="3" s="1"/>
  <c r="H245" i="9"/>
  <c r="J196" i="5"/>
  <c r="J136" i="5"/>
  <c r="K215" i="6"/>
  <c r="K222" i="6" s="1"/>
  <c r="N229" i="9"/>
  <c r="N225" i="9"/>
  <c r="N212" i="9"/>
  <c r="N219" i="9"/>
  <c r="N221" i="9" s="1"/>
  <c r="N122" i="9"/>
  <c r="N226" i="9"/>
  <c r="N209" i="9"/>
  <c r="N169" i="9"/>
  <c r="N121" i="9"/>
  <c r="N120" i="9"/>
  <c r="N232" i="9"/>
  <c r="N183" i="9"/>
  <c r="N155" i="9"/>
  <c r="N127" i="9"/>
  <c r="N230" i="9"/>
  <c r="N141" i="9"/>
  <c r="N231" i="9"/>
  <c r="N207" i="9"/>
  <c r="N210" i="9" s="1"/>
  <c r="N242" i="8"/>
  <c r="N224" i="8"/>
  <c r="N179" i="8"/>
  <c r="N123" i="8"/>
  <c r="N115" i="8"/>
  <c r="N119" i="8" s="1"/>
  <c r="N137" i="8"/>
  <c r="N234" i="8"/>
  <c r="N151" i="8"/>
  <c r="N194" i="8"/>
  <c r="N205" i="8"/>
  <c r="O114" i="8"/>
  <c r="N117" i="8"/>
  <c r="N165" i="8"/>
  <c r="N116" i="8"/>
  <c r="L134" i="7"/>
  <c r="L238" i="7" s="1"/>
  <c r="L239" i="7" s="1"/>
  <c r="L190" i="6"/>
  <c r="L192" i="6" s="1"/>
  <c r="M225" i="9"/>
  <c r="M233" i="9" s="1"/>
  <c r="L190" i="8"/>
  <c r="N224" i="6"/>
  <c r="N179" i="6"/>
  <c r="N242" i="6"/>
  <c r="N165" i="6"/>
  <c r="N117" i="6"/>
  <c r="N137" i="6"/>
  <c r="N151" i="6"/>
  <c r="N116" i="6"/>
  <c r="N123" i="6"/>
  <c r="N205" i="6"/>
  <c r="N115" i="6"/>
  <c r="N119" i="6" s="1"/>
  <c r="O114" i="6"/>
  <c r="N194" i="6"/>
  <c r="K195" i="6"/>
  <c r="K129" i="6"/>
  <c r="L238" i="5"/>
  <c r="L239" i="5" s="1"/>
  <c r="K215" i="7"/>
  <c r="K222" i="7" s="1"/>
  <c r="G203" i="10"/>
  <c r="K150" i="5"/>
  <c r="M232" i="9"/>
  <c r="K129" i="7"/>
  <c r="K195" i="7"/>
  <c r="L176" i="9"/>
  <c r="J136" i="6"/>
  <c r="J196" i="6"/>
  <c r="L190" i="11"/>
  <c r="I136" i="11"/>
  <c r="I196" i="11"/>
  <c r="N224" i="11"/>
  <c r="N179" i="11"/>
  <c r="N242" i="11"/>
  <c r="N194" i="11"/>
  <c r="N205" i="11"/>
  <c r="N117" i="11"/>
  <c r="N165" i="11"/>
  <c r="N115" i="11"/>
  <c r="N119" i="11" s="1"/>
  <c r="N116" i="11"/>
  <c r="N151" i="11"/>
  <c r="N137" i="11"/>
  <c r="N123" i="11"/>
  <c r="O114" i="11"/>
  <c r="K164" i="6"/>
  <c r="I198" i="5"/>
  <c r="I197" i="5"/>
  <c r="I199" i="5" s="1"/>
  <c r="I202" i="5" s="1"/>
  <c r="I243" i="5" s="1"/>
  <c r="K164" i="5"/>
  <c r="L233" i="5"/>
  <c r="L240" i="5" s="1"/>
  <c r="K150" i="8"/>
  <c r="K174" i="10"/>
  <c r="I198" i="7"/>
  <c r="I197" i="7"/>
  <c r="I199" i="7" s="1"/>
  <c r="I202" i="7" s="1"/>
  <c r="I243" i="7" s="1"/>
  <c r="J196" i="10"/>
  <c r="J136" i="10"/>
  <c r="L222" i="9"/>
  <c r="J136" i="7"/>
  <c r="J196" i="7"/>
  <c r="L156" i="9"/>
  <c r="L157" i="9" s="1"/>
  <c r="L170" i="9"/>
  <c r="L171" i="9" s="1"/>
  <c r="L142" i="9"/>
  <c r="L143" i="9" s="1"/>
  <c r="L150" i="9" s="1"/>
  <c r="L184" i="9"/>
  <c r="L185" i="9" s="1"/>
  <c r="L192" i="9" s="1"/>
  <c r="L128" i="9"/>
  <c r="L172" i="9"/>
  <c r="L216" i="9" s="1"/>
  <c r="K146" i="11"/>
  <c r="K148" i="11"/>
  <c r="K238" i="11" s="1"/>
  <c r="K239" i="11" s="1"/>
  <c r="K240" i="11" s="1"/>
  <c r="K195" i="11"/>
  <c r="K129" i="11"/>
  <c r="M170" i="9"/>
  <c r="M171" i="9" s="1"/>
  <c r="M156" i="9"/>
  <c r="M157" i="9" s="1"/>
  <c r="M184" i="9"/>
  <c r="M185" i="9" s="1"/>
  <c r="M192" i="9" s="1"/>
  <c r="M142" i="9"/>
  <c r="M143" i="9" s="1"/>
  <c r="M172" i="9"/>
  <c r="M128" i="9"/>
  <c r="I198" i="10"/>
  <c r="I197" i="10"/>
  <c r="I199" i="10" s="1"/>
  <c r="I202" i="10" s="1"/>
  <c r="I243" i="10" s="1"/>
  <c r="L134" i="9"/>
  <c r="L238" i="9" s="1"/>
  <c r="L239" i="9" s="1"/>
  <c r="M134" i="9"/>
  <c r="L170" i="7"/>
  <c r="L171" i="7" s="1"/>
  <c r="L156" i="7"/>
  <c r="L157" i="7" s="1"/>
  <c r="L128" i="7"/>
  <c r="L142" i="7"/>
  <c r="L143" i="7" s="1"/>
  <c r="L172" i="7"/>
  <c r="L158" i="7"/>
  <c r="L215" i="7" s="1"/>
  <c r="L222" i="7" s="1"/>
  <c r="L222" i="10"/>
  <c r="L233" i="7"/>
  <c r="L162" i="11"/>
  <c r="G198" i="9"/>
  <c r="G197" i="9"/>
  <c r="K134" i="10"/>
  <c r="I197" i="9"/>
  <c r="I199" i="9" s="1"/>
  <c r="I202" i="9" s="1"/>
  <c r="I243" i="9" s="1"/>
  <c r="I198" i="9"/>
  <c r="H203" i="9"/>
  <c r="M162" i="9"/>
  <c r="L176" i="11"/>
  <c r="K150" i="6"/>
  <c r="N118" i="9"/>
  <c r="N227" i="9" s="1"/>
  <c r="L178" i="5"/>
  <c r="L192" i="5"/>
  <c r="N242" i="7"/>
  <c r="N137" i="7"/>
  <c r="N194" i="7"/>
  <c r="N224" i="7"/>
  <c r="N205" i="7"/>
  <c r="N116" i="7"/>
  <c r="N117" i="7"/>
  <c r="N165" i="7"/>
  <c r="O114" i="7"/>
  <c r="N179" i="7"/>
  <c r="N151" i="7"/>
  <c r="N234" i="7"/>
  <c r="N115" i="7"/>
  <c r="N119" i="7" s="1"/>
  <c r="N123" i="7"/>
  <c r="L190" i="9"/>
  <c r="M234" i="10"/>
  <c r="M120" i="8"/>
  <c r="M230" i="8"/>
  <c r="M209" i="8"/>
  <c r="M229" i="8"/>
  <c r="M155" i="8"/>
  <c r="M162" i="8" s="1"/>
  <c r="M219" i="8"/>
  <c r="M221" i="8" s="1"/>
  <c r="M122" i="8"/>
  <c r="M231" i="8"/>
  <c r="M207" i="8"/>
  <c r="M210" i="8" s="1"/>
  <c r="M127" i="8"/>
  <c r="M212" i="8"/>
  <c r="M121" i="8"/>
  <c r="M183" i="8"/>
  <c r="M141" i="8"/>
  <c r="M169" i="8"/>
  <c r="M232" i="8"/>
  <c r="H197" i="11"/>
  <c r="H198" i="11"/>
  <c r="L174" i="9"/>
  <c r="L233" i="8"/>
  <c r="G202" i="7"/>
  <c r="L184" i="10"/>
  <c r="L185" i="10" s="1"/>
  <c r="L192" i="10" s="1"/>
  <c r="L128" i="10"/>
  <c r="L142" i="10"/>
  <c r="L143" i="10" s="1"/>
  <c r="L150" i="10" s="1"/>
  <c r="L172" i="10"/>
  <c r="L216" i="10" s="1"/>
  <c r="L156" i="10"/>
  <c r="L157" i="10" s="1"/>
  <c r="L164" i="10" s="1"/>
  <c r="L170" i="10"/>
  <c r="L171" i="10" s="1"/>
  <c r="L142" i="5"/>
  <c r="L143" i="5" s="1"/>
  <c r="L150" i="5" s="1"/>
  <c r="L156" i="5"/>
  <c r="L157" i="5" s="1"/>
  <c r="L164" i="5" s="1"/>
  <c r="L128" i="5"/>
  <c r="K136" i="9"/>
  <c r="K196" i="9"/>
  <c r="K240" i="5"/>
  <c r="M234" i="5"/>
  <c r="K164" i="7"/>
  <c r="L134" i="11"/>
  <c r="M232" i="6"/>
  <c r="M229" i="6"/>
  <c r="M226" i="6"/>
  <c r="M141" i="6"/>
  <c r="M219" i="6"/>
  <c r="M221" i="6" s="1"/>
  <c r="M209" i="6"/>
  <c r="M155" i="6"/>
  <c r="M230" i="6"/>
  <c r="M169" i="6"/>
  <c r="M127" i="6"/>
  <c r="M134" i="6" s="1"/>
  <c r="M121" i="6"/>
  <c r="M192" i="6" s="1"/>
  <c r="M207" i="6"/>
  <c r="M210" i="6" s="1"/>
  <c r="M228" i="6"/>
  <c r="M227" i="6"/>
  <c r="M120" i="6"/>
  <c r="M225" i="6"/>
  <c r="M122" i="6"/>
  <c r="M212" i="6"/>
  <c r="M183" i="6"/>
  <c r="M190" i="6" s="1"/>
  <c r="M231" i="6"/>
  <c r="L210" i="6"/>
  <c r="L148" i="6"/>
  <c r="G243" i="8"/>
  <c r="I195" i="11"/>
  <c r="L174" i="10"/>
  <c r="L176" i="10"/>
  <c r="K129" i="5"/>
  <c r="K195" i="5"/>
  <c r="G202" i="6"/>
  <c r="K129" i="8"/>
  <c r="K195" i="8"/>
  <c r="M234" i="7"/>
  <c r="K176" i="10"/>
  <c r="K144" i="11"/>
  <c r="K215" i="11" s="1"/>
  <c r="K222" i="11" s="1"/>
  <c r="M169" i="5"/>
  <c r="M122" i="5"/>
  <c r="M228" i="5"/>
  <c r="M225" i="5"/>
  <c r="M183" i="5"/>
  <c r="M127" i="5"/>
  <c r="M121" i="5"/>
  <c r="M207" i="5"/>
  <c r="M210" i="5" s="1"/>
  <c r="M222" i="5" s="1"/>
  <c r="M227" i="5"/>
  <c r="M226" i="5"/>
  <c r="M120" i="5"/>
  <c r="M209" i="5"/>
  <c r="M219" i="5"/>
  <c r="M221" i="5" s="1"/>
  <c r="M232" i="5"/>
  <c r="M141" i="5"/>
  <c r="M229" i="5"/>
  <c r="M155" i="5"/>
  <c r="M230" i="5"/>
  <c r="H198" i="5"/>
  <c r="H197" i="5"/>
  <c r="G202" i="11"/>
  <c r="L192" i="8"/>
  <c r="L178" i="8"/>
  <c r="L164" i="8"/>
  <c r="L134" i="6"/>
  <c r="N242" i="10"/>
  <c r="N151" i="10"/>
  <c r="N117" i="10"/>
  <c r="N224" i="10"/>
  <c r="N123" i="10"/>
  <c r="O114" i="10"/>
  <c r="N194" i="10"/>
  <c r="N179" i="10"/>
  <c r="N137" i="10"/>
  <c r="N115" i="10"/>
  <c r="N119" i="10" s="1"/>
  <c r="N116" i="10"/>
  <c r="N165" i="10"/>
  <c r="N205" i="10"/>
  <c r="K240" i="7"/>
  <c r="H197" i="6"/>
  <c r="H198" i="6"/>
  <c r="L190" i="7"/>
  <c r="L192" i="7" s="1"/>
  <c r="H197" i="10"/>
  <c r="H198" i="10"/>
  <c r="K240" i="8"/>
  <c r="J197" i="9"/>
  <c r="J198" i="9"/>
  <c r="K148" i="10"/>
  <c r="M118" i="8"/>
  <c r="M228" i="8" s="1"/>
  <c r="M118" i="7"/>
  <c r="M231" i="7" s="1"/>
  <c r="K162" i="10"/>
  <c r="L142" i="8"/>
  <c r="L143" i="8" s="1"/>
  <c r="L128" i="8"/>
  <c r="M232" i="11"/>
  <c r="M229" i="11"/>
  <c r="M226" i="11"/>
  <c r="M212" i="11"/>
  <c r="M219" i="11"/>
  <c r="M221" i="11" s="1"/>
  <c r="M225" i="11"/>
  <c r="M127" i="11"/>
  <c r="M121" i="11"/>
  <c r="M169" i="11"/>
  <c r="M122" i="11"/>
  <c r="M227" i="11"/>
  <c r="M209" i="11"/>
  <c r="M155" i="11"/>
  <c r="M231" i="11"/>
  <c r="M183" i="11"/>
  <c r="M228" i="11"/>
  <c r="M207" i="11"/>
  <c r="M210" i="11" s="1"/>
  <c r="M120" i="11"/>
  <c r="M230" i="11"/>
  <c r="M148" i="9"/>
  <c r="L149" i="8"/>
  <c r="L148" i="8"/>
  <c r="G199" i="10"/>
  <c r="K237" i="8"/>
  <c r="K239" i="8" s="1"/>
  <c r="K190" i="10"/>
  <c r="N234" i="9"/>
  <c r="D60" i="13"/>
  <c r="F60" i="13" s="1"/>
  <c r="H245" i="7"/>
  <c r="H244" i="7"/>
  <c r="E22" i="3" s="1"/>
  <c r="K238" i="5"/>
  <c r="K239" i="5" s="1"/>
  <c r="L135" i="8"/>
  <c r="L134" i="8"/>
  <c r="L233" i="10"/>
  <c r="K178" i="6"/>
  <c r="L162" i="9"/>
  <c r="J196" i="11"/>
  <c r="J136" i="11"/>
  <c r="M174" i="9"/>
  <c r="M176" i="9"/>
  <c r="K238" i="6"/>
  <c r="K239" i="6" s="1"/>
  <c r="K240" i="6" s="1"/>
  <c r="M118" i="5"/>
  <c r="M231" i="5" s="1"/>
  <c r="K150" i="7"/>
  <c r="L148" i="7"/>
  <c r="I215" i="11"/>
  <c r="I222" i="11" s="1"/>
  <c r="O205" i="9"/>
  <c r="O224" i="9"/>
  <c r="O137" i="9"/>
  <c r="P114" i="9"/>
  <c r="O194" i="9"/>
  <c r="O179" i="9"/>
  <c r="O151" i="9"/>
  <c r="O242" i="9"/>
  <c r="O116" i="9"/>
  <c r="O117" i="9"/>
  <c r="O115" i="9"/>
  <c r="O119" i="9" s="1"/>
  <c r="O123" i="9"/>
  <c r="O165" i="9"/>
  <c r="L233" i="9"/>
  <c r="J136" i="8"/>
  <c r="J196" i="8"/>
  <c r="I197" i="6"/>
  <c r="I198" i="6"/>
  <c r="K178" i="11"/>
  <c r="I197" i="11" l="1"/>
  <c r="I199" i="11" s="1"/>
  <c r="I202" i="11" s="1"/>
  <c r="I243" i="11" s="1"/>
  <c r="I198" i="11"/>
  <c r="G199" i="5"/>
  <c r="M134" i="11"/>
  <c r="K196" i="5"/>
  <c r="K136" i="5"/>
  <c r="M134" i="8"/>
  <c r="M135" i="8"/>
  <c r="I203" i="9"/>
  <c r="I245" i="10"/>
  <c r="I244" i="10"/>
  <c r="H23" i="3" s="1"/>
  <c r="J197" i="6"/>
  <c r="J199" i="6" s="1"/>
  <c r="J202" i="6" s="1"/>
  <c r="J243" i="6" s="1"/>
  <c r="J198" i="6"/>
  <c r="G203" i="5"/>
  <c r="M222" i="8"/>
  <c r="O234" i="9"/>
  <c r="L238" i="6"/>
  <c r="L239" i="6" s="1"/>
  <c r="L240" i="6" s="1"/>
  <c r="M174" i="6"/>
  <c r="M176" i="6"/>
  <c r="K164" i="10"/>
  <c r="I199" i="6"/>
  <c r="I202" i="6" s="1"/>
  <c r="I243" i="6" s="1"/>
  <c r="M134" i="5"/>
  <c r="G199" i="9"/>
  <c r="M195" i="9"/>
  <c r="M129" i="9"/>
  <c r="J198" i="5"/>
  <c r="J197" i="5"/>
  <c r="J199" i="5" s="1"/>
  <c r="J202" i="5" s="1"/>
  <c r="J243" i="5" s="1"/>
  <c r="M233" i="10"/>
  <c r="J198" i="8"/>
  <c r="J197" i="8"/>
  <c r="G243" i="11"/>
  <c r="M216" i="9"/>
  <c r="M222" i="9" s="1"/>
  <c r="I245" i="7"/>
  <c r="I244" i="7"/>
  <c r="E23" i="3" s="1"/>
  <c r="O242" i="5"/>
  <c r="O151" i="5"/>
  <c r="O117" i="5"/>
  <c r="O205" i="5"/>
  <c r="O165" i="5"/>
  <c r="P114" i="5"/>
  <c r="O224" i="5"/>
  <c r="O116" i="5"/>
  <c r="O194" i="5"/>
  <c r="O123" i="5"/>
  <c r="O115" i="5"/>
  <c r="O119" i="5" s="1"/>
  <c r="O179" i="5"/>
  <c r="O234" i="5"/>
  <c r="O137" i="5"/>
  <c r="L178" i="11"/>
  <c r="M233" i="5"/>
  <c r="M233" i="6"/>
  <c r="G243" i="7"/>
  <c r="I203" i="5"/>
  <c r="N118" i="6"/>
  <c r="M228" i="7"/>
  <c r="L192" i="11"/>
  <c r="H199" i="6"/>
  <c r="M156" i="6"/>
  <c r="M157" i="6" s="1"/>
  <c r="M170" i="6"/>
  <c r="M171" i="6" s="1"/>
  <c r="M142" i="6"/>
  <c r="M143" i="6" s="1"/>
  <c r="M128" i="6"/>
  <c r="M172" i="6"/>
  <c r="M158" i="6"/>
  <c r="M176" i="8"/>
  <c r="M225" i="8"/>
  <c r="L240" i="7"/>
  <c r="L178" i="7"/>
  <c r="N118" i="8"/>
  <c r="N228" i="8" s="1"/>
  <c r="N134" i="9"/>
  <c r="N238" i="9" s="1"/>
  <c r="N239" i="9" s="1"/>
  <c r="I197" i="8"/>
  <c r="I198" i="8"/>
  <c r="M120" i="7"/>
  <c r="M190" i="7" s="1"/>
  <c r="M192" i="7" s="1"/>
  <c r="M229" i="7"/>
  <c r="M148" i="10"/>
  <c r="M190" i="10"/>
  <c r="L142" i="11"/>
  <c r="L143" i="11" s="1"/>
  <c r="L150" i="11" s="1"/>
  <c r="M128" i="5"/>
  <c r="M142" i="5"/>
  <c r="M143" i="5" s="1"/>
  <c r="M156" i="5"/>
  <c r="M157" i="5" s="1"/>
  <c r="J198" i="7"/>
  <c r="J197" i="7"/>
  <c r="J199" i="7" s="1"/>
  <c r="J202" i="7" s="1"/>
  <c r="J243" i="7" s="1"/>
  <c r="N219" i="6"/>
  <c r="N221" i="6" s="1"/>
  <c r="N209" i="6"/>
  <c r="N230" i="6"/>
  <c r="N227" i="6"/>
  <c r="N232" i="6"/>
  <c r="N231" i="6"/>
  <c r="N141" i="6"/>
  <c r="N226" i="6"/>
  <c r="N225" i="6"/>
  <c r="N207" i="6"/>
  <c r="N228" i="6"/>
  <c r="N127" i="6"/>
  <c r="N120" i="6"/>
  <c r="N229" i="6"/>
  <c r="N212" i="6"/>
  <c r="N121" i="6"/>
  <c r="N122" i="6"/>
  <c r="N183" i="6"/>
  <c r="L160" i="6"/>
  <c r="L215" i="6" s="1"/>
  <c r="L222" i="6" s="1"/>
  <c r="L162" i="6"/>
  <c r="M184" i="11"/>
  <c r="M185" i="11" s="1"/>
  <c r="M142" i="11"/>
  <c r="M143" i="11" s="1"/>
  <c r="M170" i="11"/>
  <c r="M171" i="11" s="1"/>
  <c r="M178" i="11" s="1"/>
  <c r="M156" i="11"/>
  <c r="M157" i="11" s="1"/>
  <c r="M164" i="11" s="1"/>
  <c r="M128" i="11"/>
  <c r="O229" i="9"/>
  <c r="O227" i="9"/>
  <c r="O225" i="9"/>
  <c r="O155" i="9"/>
  <c r="O212" i="9"/>
  <c r="O169" i="9"/>
  <c r="O122" i="9"/>
  <c r="O231" i="9"/>
  <c r="O209" i="9"/>
  <c r="O121" i="9"/>
  <c r="O141" i="9"/>
  <c r="O228" i="9"/>
  <c r="O183" i="9"/>
  <c r="O127" i="9"/>
  <c r="O230" i="9"/>
  <c r="O219" i="9"/>
  <c r="O221" i="9" s="1"/>
  <c r="O207" i="9"/>
  <c r="J197" i="11"/>
  <c r="J198" i="11"/>
  <c r="M233" i="11"/>
  <c r="N128" i="9"/>
  <c r="N156" i="9"/>
  <c r="N157" i="9" s="1"/>
  <c r="N164" i="9" s="1"/>
  <c r="N172" i="9"/>
  <c r="N184" i="9"/>
  <c r="N185" i="9" s="1"/>
  <c r="N192" i="9" s="1"/>
  <c r="N170" i="9"/>
  <c r="N171" i="9" s="1"/>
  <c r="N142" i="9"/>
  <c r="N143" i="9" s="1"/>
  <c r="M230" i="7"/>
  <c r="K197" i="9"/>
  <c r="K198" i="9"/>
  <c r="L129" i="10"/>
  <c r="L195" i="10"/>
  <c r="N207" i="5"/>
  <c r="N183" i="5"/>
  <c r="N190" i="5" s="1"/>
  <c r="N127" i="5"/>
  <c r="N121" i="5"/>
  <c r="N228" i="5"/>
  <c r="N169" i="5"/>
  <c r="N227" i="5"/>
  <c r="N226" i="5"/>
  <c r="N120" i="5"/>
  <c r="N219" i="5"/>
  <c r="N221" i="5" s="1"/>
  <c r="N209" i="5"/>
  <c r="N230" i="5"/>
  <c r="N229" i="5"/>
  <c r="N231" i="5"/>
  <c r="N232" i="5"/>
  <c r="N155" i="5"/>
  <c r="N225" i="5"/>
  <c r="N141" i="5"/>
  <c r="N122" i="5"/>
  <c r="M134" i="7"/>
  <c r="I203" i="6"/>
  <c r="M192" i="5"/>
  <c r="O234" i="6"/>
  <c r="O179" i="6"/>
  <c r="O242" i="6"/>
  <c r="O137" i="6"/>
  <c r="O115" i="6"/>
  <c r="O119" i="6" s="1"/>
  <c r="P114" i="6"/>
  <c r="O123" i="6"/>
  <c r="O118" i="6"/>
  <c r="O224" i="6"/>
  <c r="O205" i="6"/>
  <c r="O116" i="6"/>
  <c r="O165" i="6"/>
  <c r="O194" i="6"/>
  <c r="O151" i="6"/>
  <c r="O117" i="6"/>
  <c r="N174" i="9"/>
  <c r="N176" i="9"/>
  <c r="M148" i="7"/>
  <c r="M176" i="10"/>
  <c r="M174" i="10"/>
  <c r="K196" i="8"/>
  <c r="K136" i="8"/>
  <c r="L195" i="5"/>
  <c r="L129" i="5"/>
  <c r="N226" i="11"/>
  <c r="N219" i="11"/>
  <c r="N221" i="11" s="1"/>
  <c r="N183" i="11"/>
  <c r="N228" i="11"/>
  <c r="N169" i="11"/>
  <c r="N209" i="11"/>
  <c r="N155" i="11"/>
  <c r="N212" i="11"/>
  <c r="N127" i="11"/>
  <c r="N121" i="11"/>
  <c r="N231" i="11"/>
  <c r="N122" i="11"/>
  <c r="N225" i="11"/>
  <c r="N120" i="11"/>
  <c r="N207" i="11"/>
  <c r="K178" i="10"/>
  <c r="L240" i="10"/>
  <c r="M162" i="11"/>
  <c r="M190" i="5"/>
  <c r="M160" i="6"/>
  <c r="M162" i="6"/>
  <c r="M227" i="8"/>
  <c r="N227" i="7"/>
  <c r="N212" i="7"/>
  <c r="N122" i="7"/>
  <c r="N207" i="7"/>
  <c r="N229" i="7"/>
  <c r="N228" i="7"/>
  <c r="N226" i="7"/>
  <c r="N183" i="7"/>
  <c r="N190" i="7" s="1"/>
  <c r="N232" i="7"/>
  <c r="N141" i="7"/>
  <c r="N121" i="7"/>
  <c r="N219" i="7"/>
  <c r="N221" i="7" s="1"/>
  <c r="N209" i="7"/>
  <c r="N127" i="7"/>
  <c r="N225" i="7"/>
  <c r="N174" i="7"/>
  <c r="N120" i="7"/>
  <c r="N155" i="7" s="1"/>
  <c r="N231" i="7"/>
  <c r="N162" i="7"/>
  <c r="N176" i="7"/>
  <c r="N160" i="7"/>
  <c r="G203" i="9"/>
  <c r="L129" i="7"/>
  <c r="L195" i="7"/>
  <c r="L129" i="9"/>
  <c r="L195" i="9"/>
  <c r="I244" i="5"/>
  <c r="C23" i="3" s="1"/>
  <c r="I245" i="5"/>
  <c r="N148" i="9"/>
  <c r="L156" i="6"/>
  <c r="L157" i="6" s="1"/>
  <c r="N118" i="10"/>
  <c r="L164" i="7"/>
  <c r="M150" i="9"/>
  <c r="I203" i="7"/>
  <c r="K196" i="7"/>
  <c r="K136" i="7"/>
  <c r="M134" i="10"/>
  <c r="K150" i="11"/>
  <c r="O118" i="9"/>
  <c r="O226" i="9" s="1"/>
  <c r="G202" i="10"/>
  <c r="J203" i="9"/>
  <c r="L238" i="8"/>
  <c r="J199" i="9"/>
  <c r="J202" i="9" s="1"/>
  <c r="J243" i="9" s="1"/>
  <c r="M148" i="6"/>
  <c r="M238" i="6" s="1"/>
  <c r="M239" i="6" s="1"/>
  <c r="M148" i="8"/>
  <c r="M149" i="8"/>
  <c r="M164" i="9"/>
  <c r="L178" i="9"/>
  <c r="O205" i="11"/>
  <c r="O224" i="11"/>
  <c r="O242" i="11"/>
  <c r="O194" i="11"/>
  <c r="O165" i="11"/>
  <c r="O116" i="11"/>
  <c r="O137" i="11"/>
  <c r="O118" i="11"/>
  <c r="O179" i="11"/>
  <c r="O151" i="11"/>
  <c r="O115" i="11"/>
  <c r="O119" i="11" s="1"/>
  <c r="O123" i="11"/>
  <c r="P114" i="11"/>
  <c r="O117" i="11"/>
  <c r="N162" i="9"/>
  <c r="M232" i="7"/>
  <c r="M210" i="10"/>
  <c r="L129" i="11"/>
  <c r="L150" i="8"/>
  <c r="I245" i="9"/>
  <c r="I244" i="9"/>
  <c r="G23" i="3" s="1"/>
  <c r="I203" i="10"/>
  <c r="K238" i="10"/>
  <c r="K239" i="10" s="1"/>
  <c r="K240" i="10" s="1"/>
  <c r="N118" i="11"/>
  <c r="N230" i="11" s="1"/>
  <c r="K195" i="10"/>
  <c r="K129" i="10"/>
  <c r="L178" i="6"/>
  <c r="M190" i="11"/>
  <c r="H199" i="10"/>
  <c r="H202" i="10" s="1"/>
  <c r="H243" i="10" s="1"/>
  <c r="M162" i="5"/>
  <c r="M128" i="8"/>
  <c r="M142" i="8"/>
  <c r="M143" i="8" s="1"/>
  <c r="O137" i="7"/>
  <c r="O194" i="7"/>
  <c r="O151" i="7"/>
  <c r="O242" i="7"/>
  <c r="O205" i="7"/>
  <c r="O116" i="7"/>
  <c r="O234" i="7"/>
  <c r="O165" i="7"/>
  <c r="O118" i="7"/>
  <c r="O123" i="7"/>
  <c r="O179" i="7"/>
  <c r="O117" i="7"/>
  <c r="O115" i="7"/>
  <c r="O119" i="7" s="1"/>
  <c r="O224" i="7"/>
  <c r="P114" i="7"/>
  <c r="N234" i="6"/>
  <c r="M233" i="7"/>
  <c r="L146" i="11"/>
  <c r="L215" i="11" s="1"/>
  <c r="L222" i="11" s="1"/>
  <c r="L148" i="11"/>
  <c r="L238" i="11" s="1"/>
  <c r="L239" i="11" s="1"/>
  <c r="L240" i="11" s="1"/>
  <c r="H199" i="11"/>
  <c r="M226" i="8"/>
  <c r="L150" i="7"/>
  <c r="J197" i="10"/>
  <c r="J199" i="10" s="1"/>
  <c r="J202" i="10" s="1"/>
  <c r="J243" i="10" s="1"/>
  <c r="J198" i="10"/>
  <c r="L195" i="6"/>
  <c r="L129" i="6"/>
  <c r="O242" i="10"/>
  <c r="O205" i="10"/>
  <c r="O165" i="10"/>
  <c r="O224" i="10"/>
  <c r="O116" i="10"/>
  <c r="O194" i="10"/>
  <c r="O151" i="10"/>
  <c r="O115" i="10"/>
  <c r="O119" i="10" s="1"/>
  <c r="O137" i="10"/>
  <c r="O117" i="10"/>
  <c r="O234" i="10"/>
  <c r="P114" i="10"/>
  <c r="O179" i="10"/>
  <c r="O123" i="10"/>
  <c r="M148" i="5"/>
  <c r="L240" i="9"/>
  <c r="P224" i="9"/>
  <c r="P115" i="9"/>
  <c r="P119" i="9" s="1"/>
  <c r="Q114" i="9"/>
  <c r="P194" i="9"/>
  <c r="P118" i="9"/>
  <c r="P205" i="9"/>
  <c r="P179" i="9"/>
  <c r="P151" i="9"/>
  <c r="P116" i="9"/>
  <c r="P165" i="9"/>
  <c r="P137" i="9"/>
  <c r="P117" i="9"/>
  <c r="P123" i="9"/>
  <c r="P242" i="9"/>
  <c r="L237" i="8"/>
  <c r="M176" i="11"/>
  <c r="N230" i="10"/>
  <c r="N227" i="10"/>
  <c r="N225" i="10"/>
  <c r="N233" i="10" s="1"/>
  <c r="N226" i="10"/>
  <c r="N141" i="10"/>
  <c r="N231" i="10"/>
  <c r="N228" i="10"/>
  <c r="N219" i="10"/>
  <c r="N221" i="10" s="1"/>
  <c r="N127" i="10"/>
  <c r="N120" i="10"/>
  <c r="N121" i="10"/>
  <c r="N229" i="10"/>
  <c r="N122" i="10"/>
  <c r="N212" i="10"/>
  <c r="N209" i="10"/>
  <c r="N183" i="10"/>
  <c r="N155" i="10"/>
  <c r="N169" i="10"/>
  <c r="N232" i="10"/>
  <c r="N207" i="10"/>
  <c r="G243" i="6"/>
  <c r="G245" i="8"/>
  <c r="G244" i="8"/>
  <c r="M190" i="8"/>
  <c r="N118" i="7"/>
  <c r="N230" i="7" s="1"/>
  <c r="M178" i="9"/>
  <c r="L164" i="9"/>
  <c r="N230" i="8"/>
  <c r="N227" i="8"/>
  <c r="N231" i="8"/>
  <c r="N209" i="8"/>
  <c r="N155" i="8"/>
  <c r="N219" i="8"/>
  <c r="N221" i="8" s="1"/>
  <c r="N212" i="8"/>
  <c r="N226" i="8"/>
  <c r="N207" i="8"/>
  <c r="N127" i="8"/>
  <c r="N232" i="8"/>
  <c r="N169" i="8"/>
  <c r="N183" i="8"/>
  <c r="N141" i="8"/>
  <c r="N122" i="8"/>
  <c r="N121" i="8"/>
  <c r="N120" i="8"/>
  <c r="N190" i="9"/>
  <c r="M142" i="10"/>
  <c r="M143" i="10" s="1"/>
  <c r="M128" i="10"/>
  <c r="M170" i="10"/>
  <c r="M171" i="10" s="1"/>
  <c r="M178" i="10" s="1"/>
  <c r="M184" i="10"/>
  <c r="M185" i="10" s="1"/>
  <c r="M192" i="10" s="1"/>
  <c r="M156" i="10"/>
  <c r="M157" i="10" s="1"/>
  <c r="M164" i="10" s="1"/>
  <c r="M172" i="10"/>
  <c r="L164" i="11"/>
  <c r="M141" i="11"/>
  <c r="L129" i="8"/>
  <c r="L195" i="8"/>
  <c r="N234" i="10"/>
  <c r="H199" i="5"/>
  <c r="H202" i="5" s="1"/>
  <c r="H243" i="5" s="1"/>
  <c r="M176" i="5"/>
  <c r="M178" i="5" s="1"/>
  <c r="L178" i="10"/>
  <c r="M192" i="8"/>
  <c r="M178" i="8"/>
  <c r="M164" i="8"/>
  <c r="M238" i="9"/>
  <c r="M239" i="9" s="1"/>
  <c r="M240" i="9" s="1"/>
  <c r="K196" i="11"/>
  <c r="K136" i="11"/>
  <c r="K196" i="6"/>
  <c r="K136" i="6"/>
  <c r="O242" i="8"/>
  <c r="O115" i="8"/>
  <c r="O119" i="8" s="1"/>
  <c r="O137" i="8"/>
  <c r="O194" i="8"/>
  <c r="P114" i="8"/>
  <c r="O205" i="8"/>
  <c r="O123" i="8"/>
  <c r="O165" i="8"/>
  <c r="O118" i="8"/>
  <c r="O117" i="8"/>
  <c r="O116" i="8"/>
  <c r="O224" i="8"/>
  <c r="O179" i="8"/>
  <c r="O151" i="8"/>
  <c r="N228" i="9"/>
  <c r="N233" i="9" s="1"/>
  <c r="N240" i="9" s="1"/>
  <c r="L174" i="6"/>
  <c r="L176" i="6"/>
  <c r="K198" i="6" l="1"/>
  <c r="K197" i="6"/>
  <c r="K199" i="6" s="1"/>
  <c r="K202" i="6" s="1"/>
  <c r="K243" i="6" s="1"/>
  <c r="I203" i="8"/>
  <c r="J245" i="6"/>
  <c r="J244" i="6"/>
  <c r="D24" i="3" s="1"/>
  <c r="K198" i="8"/>
  <c r="K197" i="8"/>
  <c r="K199" i="8" s="1"/>
  <c r="K202" i="8" s="1"/>
  <c r="K243" i="8" s="1"/>
  <c r="N142" i="6"/>
  <c r="N143" i="6" s="1"/>
  <c r="N128" i="6"/>
  <c r="M215" i="6"/>
  <c r="M222" i="6" s="1"/>
  <c r="H203" i="5"/>
  <c r="K197" i="11"/>
  <c r="K198" i="11"/>
  <c r="N128" i="8"/>
  <c r="N142" i="8"/>
  <c r="N143" i="8" s="1"/>
  <c r="N150" i="8" s="1"/>
  <c r="L136" i="10"/>
  <c r="L196" i="10"/>
  <c r="M192" i="11"/>
  <c r="N134" i="7"/>
  <c r="N238" i="7" s="1"/>
  <c r="N239" i="7" s="1"/>
  <c r="P242" i="6"/>
  <c r="P194" i="6"/>
  <c r="P165" i="6"/>
  <c r="P117" i="6"/>
  <c r="P179" i="6"/>
  <c r="P116" i="6"/>
  <c r="P224" i="6"/>
  <c r="P234" i="6"/>
  <c r="P205" i="6"/>
  <c r="P137" i="6"/>
  <c r="Q114" i="6"/>
  <c r="P123" i="6"/>
  <c r="P151" i="6"/>
  <c r="P115" i="6"/>
  <c r="P119" i="6" s="1"/>
  <c r="M237" i="8"/>
  <c r="N210" i="7"/>
  <c r="K199" i="9"/>
  <c r="K202" i="9" s="1"/>
  <c r="K243" i="9" s="1"/>
  <c r="M150" i="6"/>
  <c r="N169" i="6"/>
  <c r="N170" i="6" s="1"/>
  <c r="N171" i="6" s="1"/>
  <c r="N190" i="8"/>
  <c r="N192" i="8" s="1"/>
  <c r="N229" i="8"/>
  <c r="L239" i="8"/>
  <c r="L240" i="8" s="1"/>
  <c r="Q224" i="9"/>
  <c r="Q137" i="9"/>
  <c r="Q151" i="9"/>
  <c r="Q194" i="9"/>
  <c r="Q118" i="9"/>
  <c r="Q205" i="9"/>
  <c r="Q179" i="9"/>
  <c r="R114" i="9"/>
  <c r="Q116" i="9"/>
  <c r="Q165" i="9"/>
  <c r="Q117" i="9"/>
  <c r="Q234" i="9" s="1"/>
  <c r="Q242" i="9"/>
  <c r="Q123" i="9"/>
  <c r="Q115" i="9"/>
  <c r="Q119" i="9" s="1"/>
  <c r="O219" i="11"/>
  <c r="O221" i="11" s="1"/>
  <c r="O209" i="11"/>
  <c r="O226" i="11"/>
  <c r="O232" i="11"/>
  <c r="O155" i="11"/>
  <c r="O162" i="11" s="1"/>
  <c r="O228" i="11"/>
  <c r="O183" i="11"/>
  <c r="O190" i="11" s="1"/>
  <c r="O127" i="11"/>
  <c r="O121" i="11"/>
  <c r="O141" i="11"/>
  <c r="O230" i="11"/>
  <c r="O229" i="11"/>
  <c r="O169" i="11"/>
  <c r="O120" i="11"/>
  <c r="O212" i="11"/>
  <c r="O244" i="11"/>
  <c r="I29" i="3" s="1"/>
  <c r="O227" i="11"/>
  <c r="O231" i="11"/>
  <c r="O225" i="11"/>
  <c r="O122" i="11"/>
  <c r="O207" i="11"/>
  <c r="O234" i="11"/>
  <c r="M238" i="10"/>
  <c r="M239" i="10" s="1"/>
  <c r="N192" i="7"/>
  <c r="N169" i="7"/>
  <c r="N162" i="11"/>
  <c r="N229" i="11"/>
  <c r="O219" i="6"/>
  <c r="O221" i="6" s="1"/>
  <c r="O209" i="6"/>
  <c r="O155" i="6"/>
  <c r="O230" i="6"/>
  <c r="O227" i="6"/>
  <c r="O212" i="6"/>
  <c r="O127" i="6"/>
  <c r="O121" i="6"/>
  <c r="O226" i="6"/>
  <c r="O225" i="6"/>
  <c r="O183" i="6"/>
  <c r="O228" i="6"/>
  <c r="O120" i="6"/>
  <c r="O169" i="6" s="1"/>
  <c r="O229" i="6"/>
  <c r="O122" i="6"/>
  <c r="O141" i="6"/>
  <c r="O232" i="6"/>
  <c r="O207" i="6"/>
  <c r="O231" i="6"/>
  <c r="N162" i="5"/>
  <c r="O120" i="9"/>
  <c r="O148" i="9" s="1"/>
  <c r="O232" i="9"/>
  <c r="O233" i="9" s="1"/>
  <c r="N190" i="6"/>
  <c r="N210" i="6"/>
  <c r="J203" i="7"/>
  <c r="M164" i="6"/>
  <c r="P205" i="5"/>
  <c r="P165" i="5"/>
  <c r="P224" i="5"/>
  <c r="P116" i="5"/>
  <c r="Q114" i="5"/>
  <c r="P194" i="5"/>
  <c r="P123" i="5"/>
  <c r="P115" i="5"/>
  <c r="P119" i="5" s="1"/>
  <c r="P137" i="5"/>
  <c r="P179" i="5"/>
  <c r="P242" i="5"/>
  <c r="P151" i="5"/>
  <c r="P117" i="5"/>
  <c r="G202" i="9"/>
  <c r="K197" i="5"/>
  <c r="K198" i="5"/>
  <c r="D93" i="13"/>
  <c r="F93" i="13" s="1"/>
  <c r="H245" i="10"/>
  <c r="H244" i="10"/>
  <c r="H22" i="3" s="1"/>
  <c r="N156" i="11"/>
  <c r="N157" i="11" s="1"/>
  <c r="N184" i="11"/>
  <c r="N185" i="11" s="1"/>
  <c r="N170" i="11"/>
  <c r="N171" i="11" s="1"/>
  <c r="N178" i="11" s="1"/>
  <c r="N128" i="11"/>
  <c r="N144" i="11"/>
  <c r="O174" i="9"/>
  <c r="O176" i="9"/>
  <c r="D38" i="13"/>
  <c r="F38" i="13" s="1"/>
  <c r="H244" i="5"/>
  <c r="C22" i="3" s="1"/>
  <c r="H245" i="5"/>
  <c r="N210" i="5"/>
  <c r="N222" i="5" s="1"/>
  <c r="M129" i="10"/>
  <c r="M195" i="10"/>
  <c r="M150" i="10"/>
  <c r="K196" i="10"/>
  <c r="K136" i="10"/>
  <c r="N233" i="7"/>
  <c r="M238" i="7"/>
  <c r="M239" i="7" s="1"/>
  <c r="M240" i="7" s="1"/>
  <c r="N142" i="5"/>
  <c r="N143" i="5" s="1"/>
  <c r="N128" i="5"/>
  <c r="N156" i="5"/>
  <c r="N157" i="5" s="1"/>
  <c r="L136" i="8"/>
  <c r="L196" i="8"/>
  <c r="M222" i="10"/>
  <c r="N134" i="11"/>
  <c r="N148" i="5"/>
  <c r="J199" i="11"/>
  <c r="J202" i="11" s="1"/>
  <c r="J243" i="11" s="1"/>
  <c r="N162" i="8"/>
  <c r="N164" i="8" s="1"/>
  <c r="N210" i="10"/>
  <c r="N134" i="10"/>
  <c r="L196" i="6"/>
  <c r="L136" i="6"/>
  <c r="N233" i="5"/>
  <c r="N176" i="8"/>
  <c r="O118" i="10"/>
  <c r="O228" i="10" s="1"/>
  <c r="J203" i="10"/>
  <c r="P234" i="11"/>
  <c r="P179" i="11"/>
  <c r="P242" i="11"/>
  <c r="P117" i="11"/>
  <c r="P165" i="11"/>
  <c r="P123" i="11"/>
  <c r="P194" i="11"/>
  <c r="P137" i="11"/>
  <c r="P224" i="11"/>
  <c r="P115" i="11"/>
  <c r="P119" i="11" s="1"/>
  <c r="P205" i="11"/>
  <c r="P151" i="11"/>
  <c r="Q114" i="11"/>
  <c r="P116" i="11"/>
  <c r="P118" i="11"/>
  <c r="N232" i="11"/>
  <c r="N176" i="5"/>
  <c r="N150" i="9"/>
  <c r="N233" i="6"/>
  <c r="M170" i="7"/>
  <c r="M171" i="7" s="1"/>
  <c r="M128" i="7"/>
  <c r="M156" i="7"/>
  <c r="M157" i="7" s="1"/>
  <c r="M142" i="7"/>
  <c r="M143" i="7" s="1"/>
  <c r="M150" i="7" s="1"/>
  <c r="M172" i="7"/>
  <c r="M169" i="7"/>
  <c r="M155" i="7"/>
  <c r="M158" i="7" s="1"/>
  <c r="M215" i="7" s="1"/>
  <c r="M222" i="7" s="1"/>
  <c r="G244" i="11"/>
  <c r="G245" i="11"/>
  <c r="M238" i="5"/>
  <c r="M239" i="5" s="1"/>
  <c r="M240" i="5" s="1"/>
  <c r="O231" i="8"/>
  <c r="O228" i="8"/>
  <c r="O225" i="8"/>
  <c r="O230" i="8"/>
  <c r="O229" i="8"/>
  <c r="O155" i="8"/>
  <c r="O219" i="8"/>
  <c r="O221" i="8" s="1"/>
  <c r="O212" i="8"/>
  <c r="O169" i="8"/>
  <c r="O176" i="8" s="1"/>
  <c r="O122" i="8"/>
  <c r="O227" i="8"/>
  <c r="O207" i="8"/>
  <c r="O210" i="8" s="1"/>
  <c r="O222" i="8" s="1"/>
  <c r="O127" i="8"/>
  <c r="O232" i="8"/>
  <c r="O121" i="8"/>
  <c r="O209" i="8"/>
  <c r="O183" i="8"/>
  <c r="O226" i="8"/>
  <c r="O141" i="8"/>
  <c r="O120" i="8"/>
  <c r="H202" i="11"/>
  <c r="H243" i="11" s="1"/>
  <c r="N141" i="11"/>
  <c r="N142" i="11" s="1"/>
  <c r="N143" i="11" s="1"/>
  <c r="H202" i="6"/>
  <c r="H243" i="6" s="1"/>
  <c r="N129" i="9"/>
  <c r="N195" i="9"/>
  <c r="N134" i="6"/>
  <c r="J203" i="5"/>
  <c r="G243" i="10"/>
  <c r="N190" i="11"/>
  <c r="O190" i="9"/>
  <c r="H203" i="10"/>
  <c r="N156" i="10"/>
  <c r="N157" i="10" s="1"/>
  <c r="N164" i="10" s="1"/>
  <c r="N128" i="10"/>
  <c r="N170" i="10"/>
  <c r="N171" i="10" s="1"/>
  <c r="N184" i="10"/>
  <c r="N185" i="10" s="1"/>
  <c r="N142" i="10"/>
  <c r="N143" i="10" s="1"/>
  <c r="N172" i="10"/>
  <c r="O230" i="10"/>
  <c r="O183" i="10"/>
  <c r="O127" i="10"/>
  <c r="O121" i="10"/>
  <c r="O232" i="10"/>
  <c r="O229" i="10"/>
  <c r="O231" i="10"/>
  <c r="O219" i="10"/>
  <c r="O221" i="10" s="1"/>
  <c r="O209" i="10"/>
  <c r="O122" i="10"/>
  <c r="O141" i="10"/>
  <c r="O212" i="10"/>
  <c r="O155" i="10"/>
  <c r="O225" i="10"/>
  <c r="O207" i="10"/>
  <c r="O169" i="10"/>
  <c r="N155" i="6"/>
  <c r="N158" i="6" s="1"/>
  <c r="M238" i="8"/>
  <c r="M148" i="11"/>
  <c r="M238" i="11" s="1"/>
  <c r="M239" i="11" s="1"/>
  <c r="M240" i="11" s="1"/>
  <c r="M146" i="11"/>
  <c r="M150" i="11" s="1"/>
  <c r="N148" i="8"/>
  <c r="N149" i="8"/>
  <c r="P194" i="7"/>
  <c r="P151" i="7"/>
  <c r="P205" i="7"/>
  <c r="P116" i="7"/>
  <c r="P115" i="7"/>
  <c r="P119" i="7" s="1"/>
  <c r="P117" i="7"/>
  <c r="P165" i="7"/>
  <c r="P118" i="7"/>
  <c r="P224" i="7"/>
  <c r="Q114" i="7"/>
  <c r="P137" i="7"/>
  <c r="P179" i="7"/>
  <c r="P123" i="7"/>
  <c r="P242" i="7"/>
  <c r="J244" i="7"/>
  <c r="E24" i="3" s="1"/>
  <c r="J245" i="7"/>
  <c r="M178" i="6"/>
  <c r="N225" i="8"/>
  <c r="N176" i="10"/>
  <c r="N174" i="10"/>
  <c r="P234" i="9"/>
  <c r="J244" i="10"/>
  <c r="H24" i="3" s="1"/>
  <c r="J245" i="10"/>
  <c r="O212" i="7"/>
  <c r="O169" i="7"/>
  <c r="O207" i="7"/>
  <c r="O210" i="7" s="1"/>
  <c r="O231" i="7"/>
  <c r="O228" i="7"/>
  <c r="O225" i="7"/>
  <c r="O230" i="7"/>
  <c r="O229" i="7"/>
  <c r="O121" i="7"/>
  <c r="O192" i="7" s="1"/>
  <c r="O227" i="7"/>
  <c r="O122" i="7"/>
  <c r="O232" i="7"/>
  <c r="O141" i="7"/>
  <c r="O148" i="7" s="1"/>
  <c r="O219" i="7"/>
  <c r="O221" i="7" s="1"/>
  <c r="O209" i="7"/>
  <c r="O127" i="7"/>
  <c r="O134" i="7" s="1"/>
  <c r="O120" i="7"/>
  <c r="O226" i="7"/>
  <c r="O183" i="7"/>
  <c r="O190" i="7" s="1"/>
  <c r="O155" i="7"/>
  <c r="O162" i="7"/>
  <c r="O174" i="7"/>
  <c r="O176" i="7"/>
  <c r="O160" i="7"/>
  <c r="M150" i="8"/>
  <c r="J245" i="9"/>
  <c r="J244" i="9"/>
  <c r="G24" i="3" s="1"/>
  <c r="H203" i="6"/>
  <c r="N148" i="7"/>
  <c r="N227" i="11"/>
  <c r="N233" i="11" s="1"/>
  <c r="N178" i="9"/>
  <c r="M164" i="5"/>
  <c r="M233" i="8"/>
  <c r="J199" i="8"/>
  <c r="J202" i="8" s="1"/>
  <c r="J243" i="8" s="1"/>
  <c r="I244" i="6"/>
  <c r="D23" i="3" s="1"/>
  <c r="I245" i="6"/>
  <c r="L136" i="7"/>
  <c r="L196" i="7"/>
  <c r="M240" i="6"/>
  <c r="I245" i="11"/>
  <c r="I244" i="11"/>
  <c r="I23" i="3" s="1"/>
  <c r="N128" i="7"/>
  <c r="N170" i="7"/>
  <c r="N171" i="7" s="1"/>
  <c r="N142" i="7"/>
  <c r="N143" i="7" s="1"/>
  <c r="N156" i="7"/>
  <c r="N157" i="7" s="1"/>
  <c r="N172" i="7"/>
  <c r="N158" i="7"/>
  <c r="N215" i="7" s="1"/>
  <c r="I199" i="8"/>
  <c r="J245" i="5"/>
  <c r="J244" i="5"/>
  <c r="C24" i="3" s="1"/>
  <c r="K198" i="7"/>
  <c r="K197" i="7"/>
  <c r="K199" i="7" s="1"/>
  <c r="P117" i="10"/>
  <c r="P242" i="10"/>
  <c r="P179" i="10"/>
  <c r="P123" i="10"/>
  <c r="P224" i="10"/>
  <c r="P194" i="10"/>
  <c r="P151" i="10"/>
  <c r="P115" i="10"/>
  <c r="P119" i="10" s="1"/>
  <c r="P205" i="10"/>
  <c r="P165" i="10"/>
  <c r="P137" i="10"/>
  <c r="Q114" i="10"/>
  <c r="P116" i="10"/>
  <c r="L196" i="11"/>
  <c r="L136" i="11"/>
  <c r="N178" i="8"/>
  <c r="G245" i="6"/>
  <c r="G244" i="6"/>
  <c r="L195" i="11"/>
  <c r="M195" i="6"/>
  <c r="M129" i="6"/>
  <c r="M136" i="9"/>
  <c r="M196" i="9"/>
  <c r="P115" i="8"/>
  <c r="P119" i="8" s="1"/>
  <c r="P137" i="8"/>
  <c r="P194" i="8"/>
  <c r="Q114" i="8"/>
  <c r="P242" i="8"/>
  <c r="P205" i="8"/>
  <c r="P123" i="8"/>
  <c r="P165" i="8"/>
  <c r="P117" i="8"/>
  <c r="P116" i="8"/>
  <c r="P224" i="8"/>
  <c r="P151" i="8"/>
  <c r="P179" i="8"/>
  <c r="O234" i="8"/>
  <c r="M216" i="10"/>
  <c r="N134" i="8"/>
  <c r="N135" i="8"/>
  <c r="N237" i="8" s="1"/>
  <c r="N162" i="10"/>
  <c r="N148" i="10"/>
  <c r="P232" i="9"/>
  <c r="P229" i="9"/>
  <c r="P226" i="9"/>
  <c r="P212" i="9"/>
  <c r="P169" i="9"/>
  <c r="P231" i="9"/>
  <c r="P209" i="9"/>
  <c r="P225" i="9"/>
  <c r="P122" i="9"/>
  <c r="P183" i="9"/>
  <c r="P121" i="9"/>
  <c r="P120" i="9"/>
  <c r="P141" i="9"/>
  <c r="P228" i="9"/>
  <c r="P127" i="9"/>
  <c r="P155" i="9"/>
  <c r="P227" i="9"/>
  <c r="P219" i="9"/>
  <c r="P221" i="9" s="1"/>
  <c r="P230" i="9"/>
  <c r="P207" i="9"/>
  <c r="P210" i="9" s="1"/>
  <c r="M129" i="8"/>
  <c r="M195" i="8"/>
  <c r="L196" i="9"/>
  <c r="L136" i="9"/>
  <c r="N176" i="11"/>
  <c r="L196" i="5"/>
  <c r="L136" i="5"/>
  <c r="N192" i="5"/>
  <c r="N178" i="5"/>
  <c r="M144" i="11"/>
  <c r="N192" i="6"/>
  <c r="N148" i="6"/>
  <c r="M150" i="5"/>
  <c r="O228" i="5"/>
  <c r="O225" i="5"/>
  <c r="O232" i="5"/>
  <c r="O229" i="5"/>
  <c r="O226" i="5"/>
  <c r="O141" i="5"/>
  <c r="O227" i="5"/>
  <c r="O183" i="5"/>
  <c r="O190" i="5" s="1"/>
  <c r="O219" i="5"/>
  <c r="O221" i="5" s="1"/>
  <c r="O207" i="5"/>
  <c r="O127" i="5"/>
  <c r="O122" i="5"/>
  <c r="O209" i="5"/>
  <c r="O121" i="5"/>
  <c r="O230" i="5"/>
  <c r="O155" i="5"/>
  <c r="O169" i="5"/>
  <c r="O120" i="5"/>
  <c r="J203" i="8"/>
  <c r="G202" i="5"/>
  <c r="N210" i="8"/>
  <c r="N222" i="8" s="1"/>
  <c r="H246" i="8"/>
  <c r="G246" i="8"/>
  <c r="F21" i="3"/>
  <c r="N190" i="10"/>
  <c r="L164" i="6"/>
  <c r="N210" i="11"/>
  <c r="N134" i="5"/>
  <c r="N238" i="5" s="1"/>
  <c r="N239" i="5" s="1"/>
  <c r="N216" i="9"/>
  <c r="N222" i="9" s="1"/>
  <c r="O210" i="9"/>
  <c r="M195" i="11"/>
  <c r="M129" i="11"/>
  <c r="M129" i="5"/>
  <c r="M195" i="5"/>
  <c r="G245" i="7"/>
  <c r="G244" i="7"/>
  <c r="O118" i="5"/>
  <c r="O231" i="5" s="1"/>
  <c r="M240" i="10"/>
  <c r="H203" i="11"/>
  <c r="J203" i="6"/>
  <c r="I203" i="11"/>
  <c r="O174" i="6" l="1"/>
  <c r="O176" i="6"/>
  <c r="N150" i="11"/>
  <c r="K202" i="7"/>
  <c r="K243" i="7" s="1"/>
  <c r="N129" i="10"/>
  <c r="N195" i="10"/>
  <c r="M196" i="8"/>
  <c r="M136" i="8"/>
  <c r="N196" i="9"/>
  <c r="N136" i="9"/>
  <c r="O176" i="5"/>
  <c r="O178" i="5" s="1"/>
  <c r="P190" i="9"/>
  <c r="P222" i="9"/>
  <c r="M136" i="6"/>
  <c r="M196" i="6"/>
  <c r="D49" i="13"/>
  <c r="F49" i="13" s="1"/>
  <c r="H245" i="6"/>
  <c r="H244" i="6"/>
  <c r="D22" i="3" s="1"/>
  <c r="M178" i="7"/>
  <c r="O227" i="10"/>
  <c r="O149" i="8"/>
  <c r="O148" i="8"/>
  <c r="Q117" i="5"/>
  <c r="Q224" i="5"/>
  <c r="Q116" i="5"/>
  <c r="Q234" i="5"/>
  <c r="Q179" i="5"/>
  <c r="Q123" i="5"/>
  <c r="Q205" i="5"/>
  <c r="Q194" i="5"/>
  <c r="Q115" i="5"/>
  <c r="Q119" i="5" s="1"/>
  <c r="Q137" i="5"/>
  <c r="Q242" i="5"/>
  <c r="Q118" i="5"/>
  <c r="R114" i="5"/>
  <c r="Q151" i="5"/>
  <c r="Q165" i="5"/>
  <c r="O176" i="11"/>
  <c r="K203" i="6"/>
  <c r="M136" i="5"/>
  <c r="M196" i="5"/>
  <c r="P183" i="5"/>
  <c r="P127" i="5"/>
  <c r="P121" i="5"/>
  <c r="P232" i="5"/>
  <c r="P229" i="5"/>
  <c r="P226" i="5"/>
  <c r="P141" i="5"/>
  <c r="P227" i="5"/>
  <c r="P219" i="5"/>
  <c r="P221" i="5" s="1"/>
  <c r="P122" i="5"/>
  <c r="P231" i="5"/>
  <c r="P209" i="5"/>
  <c r="P230" i="5"/>
  <c r="P207" i="5"/>
  <c r="P210" i="5" s="1"/>
  <c r="P222" i="5" s="1"/>
  <c r="P228" i="5"/>
  <c r="P155" i="5"/>
  <c r="P225" i="5"/>
  <c r="P169" i="5"/>
  <c r="G243" i="5"/>
  <c r="O134" i="5"/>
  <c r="O233" i="5"/>
  <c r="P162" i="9"/>
  <c r="Q205" i="10"/>
  <c r="Q165" i="10"/>
  <c r="Q224" i="10"/>
  <c r="Q116" i="10"/>
  <c r="Q151" i="10"/>
  <c r="Q115" i="10"/>
  <c r="Q119" i="10" s="1"/>
  <c r="Q117" i="10"/>
  <c r="Q194" i="10"/>
  <c r="Q179" i="10"/>
  <c r="Q234" i="10"/>
  <c r="Q137" i="10"/>
  <c r="Q242" i="10"/>
  <c r="R114" i="10"/>
  <c r="Q123" i="10"/>
  <c r="P231" i="10"/>
  <c r="P226" i="10"/>
  <c r="P141" i="10"/>
  <c r="P219" i="10"/>
  <c r="P221" i="10" s="1"/>
  <c r="P209" i="10"/>
  <c r="P122" i="10"/>
  <c r="P121" i="10"/>
  <c r="P229" i="10"/>
  <c r="P227" i="10"/>
  <c r="P230" i="10"/>
  <c r="P183" i="10"/>
  <c r="P127" i="10"/>
  <c r="P212" i="10"/>
  <c r="P155" i="10"/>
  <c r="P207" i="10"/>
  <c r="P210" i="10" s="1"/>
  <c r="P120" i="10"/>
  <c r="P169" i="10"/>
  <c r="N164" i="7"/>
  <c r="J245" i="8"/>
  <c r="J244" i="8"/>
  <c r="F24" i="3" s="1"/>
  <c r="N216" i="10"/>
  <c r="N222" i="10" s="1"/>
  <c r="N164" i="5"/>
  <c r="M196" i="10"/>
  <c r="M136" i="10"/>
  <c r="N192" i="11"/>
  <c r="O210" i="6"/>
  <c r="O210" i="11"/>
  <c r="M239" i="8"/>
  <c r="P230" i="6"/>
  <c r="P227" i="6"/>
  <c r="P212" i="6"/>
  <c r="P169" i="6"/>
  <c r="P141" i="6"/>
  <c r="P226" i="6"/>
  <c r="P225" i="6"/>
  <c r="P183" i="6"/>
  <c r="P120" i="6"/>
  <c r="P155" i="6" s="1"/>
  <c r="P207" i="6"/>
  <c r="P210" i="6" s="1"/>
  <c r="P229" i="6"/>
  <c r="P127" i="6"/>
  <c r="P134" i="6" s="1"/>
  <c r="P122" i="6"/>
  <c r="P121" i="6"/>
  <c r="P219" i="6"/>
  <c r="P221" i="6" s="1"/>
  <c r="P209" i="6"/>
  <c r="N150" i="6"/>
  <c r="J246" i="7"/>
  <c r="I246" i="7"/>
  <c r="G246" i="7"/>
  <c r="H246" i="7"/>
  <c r="E21" i="3"/>
  <c r="P118" i="10"/>
  <c r="P232" i="10" s="1"/>
  <c r="M198" i="9"/>
  <c r="M197" i="9"/>
  <c r="M199" i="9" s="1"/>
  <c r="M202" i="9" s="1"/>
  <c r="M243" i="9" s="1"/>
  <c r="M164" i="7"/>
  <c r="N160" i="6"/>
  <c r="N215" i="6" s="1"/>
  <c r="N222" i="6" s="1"/>
  <c r="N162" i="6"/>
  <c r="N238" i="6" s="1"/>
  <c r="N239" i="6" s="1"/>
  <c r="N240" i="6" s="1"/>
  <c r="O134" i="10"/>
  <c r="O160" i="6"/>
  <c r="O162" i="6"/>
  <c r="P233" i="9"/>
  <c r="G243" i="9"/>
  <c r="O170" i="9"/>
  <c r="O171" i="9" s="1"/>
  <c r="O184" i="9"/>
  <c r="O185" i="9" s="1"/>
  <c r="O192" i="9" s="1"/>
  <c r="O128" i="9"/>
  <c r="O156" i="9"/>
  <c r="O157" i="9" s="1"/>
  <c r="O164" i="9" s="1"/>
  <c r="O172" i="9"/>
  <c r="O216" i="9" s="1"/>
  <c r="O222" i="9" s="1"/>
  <c r="O142" i="9"/>
  <c r="O143" i="9" s="1"/>
  <c r="O150" i="9" s="1"/>
  <c r="O170" i="11"/>
  <c r="O171" i="11" s="1"/>
  <c r="O178" i="11" s="1"/>
  <c r="O184" i="11"/>
  <c r="O185" i="11" s="1"/>
  <c r="O192" i="11" s="1"/>
  <c r="O128" i="11"/>
  <c r="O142" i="11"/>
  <c r="O143" i="11" s="1"/>
  <c r="O156" i="11"/>
  <c r="O157" i="11" s="1"/>
  <c r="O164" i="11" s="1"/>
  <c r="O144" i="11"/>
  <c r="I202" i="8"/>
  <c r="I243" i="8" s="1"/>
  <c r="N195" i="11"/>
  <c r="N129" i="11"/>
  <c r="N238" i="8"/>
  <c r="J203" i="11"/>
  <c r="L197" i="11"/>
  <c r="L198" i="11"/>
  <c r="O226" i="10"/>
  <c r="O233" i="10" s="1"/>
  <c r="J246" i="11"/>
  <c r="H246" i="11"/>
  <c r="G246" i="11"/>
  <c r="I21" i="3"/>
  <c r="L198" i="8"/>
  <c r="L197" i="8"/>
  <c r="L199" i="8" s="1"/>
  <c r="L202" i="8" s="1"/>
  <c r="L243" i="8" s="1"/>
  <c r="O233" i="6"/>
  <c r="N222" i="7"/>
  <c r="N156" i="6"/>
  <c r="N157" i="6" s="1"/>
  <c r="D104" i="13"/>
  <c r="F104" i="13" s="1"/>
  <c r="H245" i="11"/>
  <c r="H244" i="11"/>
  <c r="I22" i="3" s="1"/>
  <c r="O162" i="8"/>
  <c r="N240" i="5"/>
  <c r="O210" i="5"/>
  <c r="O222" i="5" s="1"/>
  <c r="P134" i="9"/>
  <c r="P238" i="9" s="1"/>
  <c r="P239" i="9" s="1"/>
  <c r="P174" i="9"/>
  <c r="P176" i="9"/>
  <c r="P118" i="8"/>
  <c r="P234" i="10"/>
  <c r="N150" i="7"/>
  <c r="O128" i="7"/>
  <c r="O156" i="7"/>
  <c r="O157" i="7" s="1"/>
  <c r="O170" i="7"/>
  <c r="O171" i="7" s="1"/>
  <c r="O142" i="7"/>
  <c r="O143" i="7" s="1"/>
  <c r="O150" i="7" s="1"/>
  <c r="O158" i="7"/>
  <c r="O172" i="7"/>
  <c r="O176" i="10"/>
  <c r="O120" i="10"/>
  <c r="N150" i="10"/>
  <c r="O164" i="8"/>
  <c r="O192" i="8"/>
  <c r="O178" i="8"/>
  <c r="L198" i="6"/>
  <c r="L197" i="6"/>
  <c r="L199" i="6" s="1"/>
  <c r="N195" i="5"/>
  <c r="N129" i="5"/>
  <c r="N164" i="11"/>
  <c r="P118" i="5"/>
  <c r="P120" i="5" s="1"/>
  <c r="O134" i="6"/>
  <c r="O148" i="11"/>
  <c r="O146" i="11"/>
  <c r="P118" i="6"/>
  <c r="P232" i="6" s="1"/>
  <c r="K199" i="11"/>
  <c r="K202" i="11" s="1"/>
  <c r="K243" i="11" s="1"/>
  <c r="O156" i="5"/>
  <c r="O157" i="5" s="1"/>
  <c r="O164" i="5" s="1"/>
  <c r="O142" i="5"/>
  <c r="O143" i="5" s="1"/>
  <c r="O128" i="5"/>
  <c r="N240" i="7"/>
  <c r="R242" i="9"/>
  <c r="R224" i="9"/>
  <c r="R151" i="9"/>
  <c r="R194" i="9"/>
  <c r="S114" i="9"/>
  <c r="R205" i="9"/>
  <c r="R179" i="9"/>
  <c r="R165" i="9"/>
  <c r="R117" i="9"/>
  <c r="R123" i="9"/>
  <c r="R115" i="9"/>
  <c r="R119" i="9" s="1"/>
  <c r="R137" i="9"/>
  <c r="R116" i="9"/>
  <c r="O162" i="10"/>
  <c r="Q224" i="11"/>
  <c r="Q242" i="11"/>
  <c r="Q234" i="11"/>
  <c r="Q205" i="11"/>
  <c r="Q179" i="11"/>
  <c r="Q194" i="11"/>
  <c r="Q116" i="11"/>
  <c r="Q137" i="11"/>
  <c r="Q151" i="11"/>
  <c r="Q123" i="11"/>
  <c r="R114" i="11"/>
  <c r="Q115" i="11"/>
  <c r="Q119" i="11" s="1"/>
  <c r="Q165" i="11"/>
  <c r="Q117" i="11"/>
  <c r="Q118" i="11"/>
  <c r="P169" i="7"/>
  <c r="P122" i="7"/>
  <c r="P207" i="7"/>
  <c r="P210" i="7" s="1"/>
  <c r="P231" i="7"/>
  <c r="P228" i="7"/>
  <c r="P225" i="7"/>
  <c r="P183" i="7"/>
  <c r="P190" i="7" s="1"/>
  <c r="P127" i="7"/>
  <c r="P134" i="7" s="1"/>
  <c r="P121" i="7"/>
  <c r="P192" i="7" s="1"/>
  <c r="P232" i="7"/>
  <c r="P209" i="7"/>
  <c r="P229" i="7"/>
  <c r="P141" i="7"/>
  <c r="P148" i="7" s="1"/>
  <c r="P219" i="7"/>
  <c r="P221" i="7" s="1"/>
  <c r="P120" i="7"/>
  <c r="P227" i="7"/>
  <c r="P230" i="7"/>
  <c r="P212" i="7"/>
  <c r="P155" i="7"/>
  <c r="P226" i="7"/>
  <c r="P162" i="7"/>
  <c r="P160" i="7"/>
  <c r="P174" i="7"/>
  <c r="P176" i="7"/>
  <c r="M195" i="7"/>
  <c r="M129" i="7"/>
  <c r="K197" i="10"/>
  <c r="K198" i="10"/>
  <c r="O148" i="5"/>
  <c r="O128" i="8"/>
  <c r="O142" i="8"/>
  <c r="O143" i="8" s="1"/>
  <c r="N238" i="11"/>
  <c r="N239" i="11" s="1"/>
  <c r="O192" i="5"/>
  <c r="N148" i="11"/>
  <c r="N146" i="11"/>
  <c r="K245" i="9"/>
  <c r="K244" i="9"/>
  <c r="G25" i="3" s="1"/>
  <c r="L197" i="5"/>
  <c r="L198" i="5"/>
  <c r="G244" i="10"/>
  <c r="G245" i="10"/>
  <c r="O190" i="8"/>
  <c r="N129" i="8"/>
  <c r="N195" i="8"/>
  <c r="L197" i="9"/>
  <c r="L198" i="9"/>
  <c r="Q137" i="8"/>
  <c r="Q194" i="8"/>
  <c r="R114" i="8"/>
  <c r="Q151" i="8"/>
  <c r="Q123" i="8"/>
  <c r="Q115" i="8"/>
  <c r="Q119" i="8" s="1"/>
  <c r="Q165" i="8"/>
  <c r="Q117" i="8"/>
  <c r="Q116" i="8"/>
  <c r="Q234" i="8"/>
  <c r="Q179" i="8"/>
  <c r="Q205" i="8"/>
  <c r="Q242" i="8"/>
  <c r="Q224" i="8"/>
  <c r="J246" i="6"/>
  <c r="H246" i="6"/>
  <c r="G246" i="6"/>
  <c r="I246" i="6"/>
  <c r="D21" i="3"/>
  <c r="K246" i="6"/>
  <c r="N178" i="7"/>
  <c r="M240" i="8"/>
  <c r="O238" i="7"/>
  <c r="O239" i="7" s="1"/>
  <c r="O233" i="7"/>
  <c r="N233" i="8"/>
  <c r="N192" i="10"/>
  <c r="O134" i="9"/>
  <c r="O238" i="9" s="1"/>
  <c r="O239" i="9" s="1"/>
  <c r="O240" i="9" s="1"/>
  <c r="N238" i="10"/>
  <c r="N239" i="10" s="1"/>
  <c r="N240" i="10" s="1"/>
  <c r="N150" i="5"/>
  <c r="O233" i="11"/>
  <c r="O240" i="11" s="1"/>
  <c r="Q219" i="9"/>
  <c r="Q221" i="9" s="1"/>
  <c r="Q209" i="9"/>
  <c r="Q229" i="9"/>
  <c r="Q231" i="9"/>
  <c r="Q183" i="9"/>
  <c r="Q232" i="9"/>
  <c r="Q212" i="9"/>
  <c r="Q127" i="9"/>
  <c r="Q134" i="9" s="1"/>
  <c r="Q121" i="9"/>
  <c r="Q226" i="9"/>
  <c r="Q169" i="9"/>
  <c r="Q141" i="9"/>
  <c r="Q228" i="9"/>
  <c r="Q227" i="9"/>
  <c r="Q122" i="9"/>
  <c r="Q225" i="9"/>
  <c r="Q155" i="9"/>
  <c r="Q230" i="9"/>
  <c r="Q120" i="9"/>
  <c r="Q207" i="9"/>
  <c r="Q210" i="9" s="1"/>
  <c r="K245" i="8"/>
  <c r="K244" i="8"/>
  <c r="F25" i="3" s="1"/>
  <c r="P184" i="9"/>
  <c r="P185" i="9" s="1"/>
  <c r="P128" i="9"/>
  <c r="P142" i="9"/>
  <c r="P143" i="9" s="1"/>
  <c r="P150" i="9" s="1"/>
  <c r="P170" i="9"/>
  <c r="P171" i="9" s="1"/>
  <c r="P156" i="9"/>
  <c r="P157" i="9" s="1"/>
  <c r="P172" i="9"/>
  <c r="P216" i="9" s="1"/>
  <c r="K203" i="7"/>
  <c r="Q242" i="6"/>
  <c r="Q137" i="6"/>
  <c r="Q194" i="6"/>
  <c r="Q179" i="6"/>
  <c r="Q116" i="6"/>
  <c r="Q224" i="6"/>
  <c r="Q123" i="6"/>
  <c r="Q118" i="6"/>
  <c r="Q117" i="6"/>
  <c r="Q234" i="6"/>
  <c r="Q205" i="6"/>
  <c r="Q165" i="6"/>
  <c r="R114" i="6"/>
  <c r="Q151" i="6"/>
  <c r="Q115" i="6"/>
  <c r="Q119" i="6" s="1"/>
  <c r="M215" i="11"/>
  <c r="M222" i="11" s="1"/>
  <c r="J244" i="11"/>
  <c r="I24" i="3" s="1"/>
  <c r="J245" i="11"/>
  <c r="K199" i="5"/>
  <c r="N174" i="6"/>
  <c r="N176" i="6"/>
  <c r="O162" i="5"/>
  <c r="L198" i="7"/>
  <c r="L197" i="7"/>
  <c r="L199" i="7" s="1"/>
  <c r="L202" i="7" s="1"/>
  <c r="L243" i="7" s="1"/>
  <c r="O170" i="6"/>
  <c r="O171" i="6" s="1"/>
  <c r="O178" i="6" s="1"/>
  <c r="O142" i="6"/>
  <c r="O143" i="6" s="1"/>
  <c r="O128" i="6"/>
  <c r="O156" i="6"/>
  <c r="O157" i="6" s="1"/>
  <c r="O158" i="6"/>
  <c r="O172" i="6"/>
  <c r="L197" i="10"/>
  <c r="L198" i="10"/>
  <c r="P231" i="8"/>
  <c r="P228" i="8"/>
  <c r="P225" i="8"/>
  <c r="P233" i="8" s="1"/>
  <c r="P219" i="8"/>
  <c r="P221" i="8" s="1"/>
  <c r="P212" i="8"/>
  <c r="P169" i="8"/>
  <c r="P176" i="8" s="1"/>
  <c r="P122" i="8"/>
  <c r="P232" i="8"/>
  <c r="P207" i="8"/>
  <c r="P127" i="8"/>
  <c r="P229" i="8"/>
  <c r="P155" i="8"/>
  <c r="P162" i="8" s="1"/>
  <c r="P209" i="8"/>
  <c r="P141" i="8"/>
  <c r="P183" i="8"/>
  <c r="P190" i="8" s="1"/>
  <c r="P227" i="8"/>
  <c r="P230" i="8"/>
  <c r="P121" i="8"/>
  <c r="P120" i="8"/>
  <c r="P226" i="8"/>
  <c r="O190" i="10"/>
  <c r="N215" i="11"/>
  <c r="N222" i="11" s="1"/>
  <c r="N172" i="6"/>
  <c r="N178" i="6" s="1"/>
  <c r="N239" i="8"/>
  <c r="O190" i="6"/>
  <c r="O192" i="6" s="1"/>
  <c r="K244" i="6"/>
  <c r="D25" i="3" s="1"/>
  <c r="K245" i="6"/>
  <c r="P234" i="7"/>
  <c r="K203" i="9"/>
  <c r="N195" i="6"/>
  <c r="N129" i="6"/>
  <c r="M196" i="11"/>
  <c r="M136" i="11"/>
  <c r="P148" i="9"/>
  <c r="P234" i="8"/>
  <c r="O162" i="9"/>
  <c r="N129" i="7"/>
  <c r="N195" i="7"/>
  <c r="Q151" i="7"/>
  <c r="Q117" i="7"/>
  <c r="Q115" i="7"/>
  <c r="Q119" i="7" s="1"/>
  <c r="Q194" i="7"/>
  <c r="Q123" i="7"/>
  <c r="Q242" i="7"/>
  <c r="Q118" i="7"/>
  <c r="R114" i="7"/>
  <c r="Q179" i="7"/>
  <c r="Q205" i="7"/>
  <c r="Q137" i="7"/>
  <c r="Q165" i="7"/>
  <c r="Q116" i="7"/>
  <c r="Q234" i="7"/>
  <c r="Q224" i="7"/>
  <c r="O210" i="10"/>
  <c r="N178" i="10"/>
  <c r="O135" i="8"/>
  <c r="O237" i="8" s="1"/>
  <c r="O134" i="8"/>
  <c r="O238" i="8" s="1"/>
  <c r="O233" i="8"/>
  <c r="P232" i="11"/>
  <c r="P229" i="11"/>
  <c r="P226" i="11"/>
  <c r="P219" i="11"/>
  <c r="P221" i="11" s="1"/>
  <c r="P209" i="11"/>
  <c r="P231" i="11"/>
  <c r="P230" i="11"/>
  <c r="P227" i="11"/>
  <c r="P183" i="11"/>
  <c r="P190" i="11" s="1"/>
  <c r="P169" i="11"/>
  <c r="P212" i="11"/>
  <c r="P244" i="11"/>
  <c r="I30" i="3" s="1"/>
  <c r="P207" i="11"/>
  <c r="P141" i="11"/>
  <c r="P121" i="11"/>
  <c r="P155" i="11"/>
  <c r="P225" i="11"/>
  <c r="P122" i="11"/>
  <c r="P127" i="11"/>
  <c r="P228" i="11"/>
  <c r="P120" i="11"/>
  <c r="P234" i="5"/>
  <c r="O148" i="6"/>
  <c r="O134" i="11"/>
  <c r="O238" i="11" s="1"/>
  <c r="O239" i="11" s="1"/>
  <c r="K203" i="8"/>
  <c r="P162" i="6" l="1"/>
  <c r="P160" i="6"/>
  <c r="P142" i="5"/>
  <c r="P143" i="5" s="1"/>
  <c r="P156" i="5"/>
  <c r="P157" i="5" s="1"/>
  <c r="P128" i="5"/>
  <c r="P149" i="8"/>
  <c r="P148" i="8"/>
  <c r="R137" i="6"/>
  <c r="R194" i="6"/>
  <c r="R151" i="6"/>
  <c r="R242" i="6"/>
  <c r="R224" i="6"/>
  <c r="R123" i="6"/>
  <c r="R205" i="6"/>
  <c r="R234" i="6"/>
  <c r="R179" i="6"/>
  <c r="R165" i="6"/>
  <c r="R116" i="6"/>
  <c r="S114" i="6"/>
  <c r="R117" i="6"/>
  <c r="R118" i="6"/>
  <c r="R115" i="6"/>
  <c r="R119" i="6" s="1"/>
  <c r="L244" i="8"/>
  <c r="F26" i="3" s="1"/>
  <c r="L245" i="8"/>
  <c r="O195" i="11"/>
  <c r="O129" i="11"/>
  <c r="P174" i="6"/>
  <c r="P176" i="6"/>
  <c r="P176" i="10"/>
  <c r="P174" i="10"/>
  <c r="R242" i="10"/>
  <c r="R179" i="10"/>
  <c r="R123" i="10"/>
  <c r="R115" i="10"/>
  <c r="R119" i="10" s="1"/>
  <c r="R224" i="10"/>
  <c r="R151" i="10"/>
  <c r="R118" i="10"/>
  <c r="R205" i="10"/>
  <c r="R137" i="10"/>
  <c r="R117" i="10"/>
  <c r="R194" i="10"/>
  <c r="R116" i="10"/>
  <c r="R234" i="10"/>
  <c r="S114" i="10"/>
  <c r="R165" i="10"/>
  <c r="O239" i="8"/>
  <c r="K244" i="7"/>
  <c r="K245" i="7"/>
  <c r="L203" i="7"/>
  <c r="K199" i="10"/>
  <c r="P164" i="9"/>
  <c r="O164" i="7"/>
  <c r="P162" i="11"/>
  <c r="Q207" i="7"/>
  <c r="Q231" i="7"/>
  <c r="Q228" i="7"/>
  <c r="Q225" i="7"/>
  <c r="Q244" i="7"/>
  <c r="E31" i="3" s="1"/>
  <c r="Q183" i="7"/>
  <c r="Q190" i="7" s="1"/>
  <c r="Q127" i="7"/>
  <c r="Q134" i="7" s="1"/>
  <c r="Q232" i="7"/>
  <c r="Q209" i="7"/>
  <c r="Q121" i="7"/>
  <c r="Q192" i="7" s="1"/>
  <c r="Q122" i="7"/>
  <c r="Q120" i="7"/>
  <c r="Q212" i="7"/>
  <c r="Q227" i="7"/>
  <c r="Q230" i="7"/>
  <c r="Q169" i="7"/>
  <c r="Q219" i="7"/>
  <c r="Q221" i="7" s="1"/>
  <c r="Q155" i="7"/>
  <c r="Q229" i="7"/>
  <c r="Q141" i="7"/>
  <c r="Q148" i="7" s="1"/>
  <c r="Q226" i="7"/>
  <c r="Q162" i="7"/>
  <c r="Q174" i="7"/>
  <c r="Q160" i="7"/>
  <c r="Q176" i="7"/>
  <c r="P134" i="8"/>
  <c r="P135" i="8"/>
  <c r="P178" i="9"/>
  <c r="Q230" i="11"/>
  <c r="Q227" i="11"/>
  <c r="Q244" i="11"/>
  <c r="I31" i="3" s="1"/>
  <c r="Q229" i="11"/>
  <c r="Q155" i="11"/>
  <c r="Q228" i="11"/>
  <c r="Q225" i="11"/>
  <c r="Q231" i="11"/>
  <c r="Q183" i="11"/>
  <c r="Q141" i="11"/>
  <c r="Q169" i="11"/>
  <c r="Q120" i="11"/>
  <c r="Q207" i="11"/>
  <c r="Q232" i="11"/>
  <c r="Q219" i="11"/>
  <c r="Q221" i="11" s="1"/>
  <c r="Q121" i="11"/>
  <c r="Q122" i="11"/>
  <c r="Q127" i="11"/>
  <c r="Q212" i="11"/>
  <c r="Q209" i="11"/>
  <c r="Q226" i="11"/>
  <c r="P134" i="10"/>
  <c r="L199" i="10"/>
  <c r="L202" i="10" s="1"/>
  <c r="L243" i="10" s="1"/>
  <c r="Q190" i="9"/>
  <c r="Q212" i="8"/>
  <c r="Q169" i="8"/>
  <c r="Q122" i="8"/>
  <c r="Q232" i="8"/>
  <c r="Q207" i="8"/>
  <c r="Q229" i="8"/>
  <c r="Q155" i="8"/>
  <c r="Q231" i="8"/>
  <c r="Q209" i="8"/>
  <c r="Q141" i="8"/>
  <c r="Q127" i="8"/>
  <c r="Q230" i="8"/>
  <c r="Q226" i="8"/>
  <c r="Q219" i="8"/>
  <c r="Q221" i="8" s="1"/>
  <c r="Q183" i="8"/>
  <c r="Q225" i="8"/>
  <c r="Q227" i="8"/>
  <c r="Q121" i="8"/>
  <c r="P238" i="7"/>
  <c r="P239" i="7" s="1"/>
  <c r="P190" i="10"/>
  <c r="Q231" i="10"/>
  <c r="Q232" i="10"/>
  <c r="Q229" i="10"/>
  <c r="Q120" i="10"/>
  <c r="Q155" i="10"/>
  <c r="Q162" i="10" s="1"/>
  <c r="Q227" i="10"/>
  <c r="Q225" i="10"/>
  <c r="Q230" i="10"/>
  <c r="Q219" i="10"/>
  <c r="Q221" i="10" s="1"/>
  <c r="Q209" i="10"/>
  <c r="Q183" i="10"/>
  <c r="Q127" i="10"/>
  <c r="Q121" i="10"/>
  <c r="Q207" i="10"/>
  <c r="Q210" i="10" s="1"/>
  <c r="Q226" i="10"/>
  <c r="Q141" i="10"/>
  <c r="Q148" i="10" s="1"/>
  <c r="Q122" i="10"/>
  <c r="Q169" i="10"/>
  <c r="Q212" i="10"/>
  <c r="G244" i="5"/>
  <c r="G245" i="5"/>
  <c r="P148" i="11"/>
  <c r="P146" i="11"/>
  <c r="P128" i="8"/>
  <c r="P142" i="8"/>
  <c r="P143" i="8" s="1"/>
  <c r="P150" i="8" s="1"/>
  <c r="P210" i="8"/>
  <c r="P222" i="8" s="1"/>
  <c r="P129" i="9"/>
  <c r="P195" i="9"/>
  <c r="Q233" i="9"/>
  <c r="M244" i="9"/>
  <c r="G27" i="3" s="1"/>
  <c r="M245" i="9"/>
  <c r="P228" i="6"/>
  <c r="P233" i="6" s="1"/>
  <c r="P240" i="6" s="1"/>
  <c r="P190" i="6"/>
  <c r="O222" i="11"/>
  <c r="M197" i="5"/>
  <c r="M198" i="5"/>
  <c r="N198" i="9"/>
  <c r="N197" i="9"/>
  <c r="N199" i="9" s="1"/>
  <c r="N202" i="9" s="1"/>
  <c r="N243" i="9" s="1"/>
  <c r="P184" i="11"/>
  <c r="P185" i="11" s="1"/>
  <c r="P192" i="11" s="1"/>
  <c r="P142" i="11"/>
  <c r="P143" i="11" s="1"/>
  <c r="P170" i="11"/>
  <c r="P171" i="11" s="1"/>
  <c r="P178" i="11" s="1"/>
  <c r="P128" i="11"/>
  <c r="P156" i="11"/>
  <c r="P157" i="11" s="1"/>
  <c r="P144" i="11"/>
  <c r="P215" i="11" s="1"/>
  <c r="Q174" i="9"/>
  <c r="Q176" i="9"/>
  <c r="R194" i="8"/>
  <c r="S114" i="8"/>
  <c r="R118" i="8"/>
  <c r="R151" i="8"/>
  <c r="R165" i="8"/>
  <c r="R117" i="8"/>
  <c r="R116" i="8"/>
  <c r="R137" i="8"/>
  <c r="R224" i="8"/>
  <c r="R123" i="8"/>
  <c r="R179" i="8"/>
  <c r="R115" i="8"/>
  <c r="R119" i="8" s="1"/>
  <c r="R205" i="8"/>
  <c r="R242" i="8"/>
  <c r="M197" i="10"/>
  <c r="M198" i="10"/>
  <c r="L199" i="5"/>
  <c r="L202" i="5" s="1"/>
  <c r="L243" i="5" s="1"/>
  <c r="O150" i="5"/>
  <c r="P192" i="6"/>
  <c r="L199" i="11"/>
  <c r="L202" i="11" s="1"/>
  <c r="L243" i="11" s="1"/>
  <c r="R205" i="5"/>
  <c r="R165" i="5"/>
  <c r="R224" i="5"/>
  <c r="R116" i="5"/>
  <c r="R234" i="5"/>
  <c r="R179" i="5"/>
  <c r="R123" i="5"/>
  <c r="S114" i="5"/>
  <c r="R194" i="5"/>
  <c r="R137" i="5"/>
  <c r="R242" i="5"/>
  <c r="R117" i="5"/>
  <c r="R151" i="5"/>
  <c r="R115" i="5"/>
  <c r="R119" i="5" s="1"/>
  <c r="N196" i="6"/>
  <c r="N136" i="6"/>
  <c r="L199" i="9"/>
  <c r="M196" i="7"/>
  <c r="M136" i="7"/>
  <c r="O238" i="5"/>
  <c r="O239" i="5" s="1"/>
  <c r="O240" i="5" s="1"/>
  <c r="S242" i="9"/>
  <c r="S194" i="9"/>
  <c r="S118" i="9"/>
  <c r="S205" i="9"/>
  <c r="S179" i="9"/>
  <c r="S165" i="9"/>
  <c r="S117" i="9"/>
  <c r="S234" i="9" s="1"/>
  <c r="T114" i="9"/>
  <c r="S151" i="9"/>
  <c r="S123" i="9"/>
  <c r="S115" i="9"/>
  <c r="S119" i="9" s="1"/>
  <c r="S116" i="9"/>
  <c r="S137" i="9"/>
  <c r="S224" i="9"/>
  <c r="O129" i="7"/>
  <c r="O195" i="7"/>
  <c r="N136" i="11"/>
  <c r="N196" i="11"/>
  <c r="P148" i="10"/>
  <c r="P190" i="5"/>
  <c r="P192" i="5" s="1"/>
  <c r="K202" i="5"/>
  <c r="K243" i="5" s="1"/>
  <c r="Q162" i="9"/>
  <c r="N136" i="8"/>
  <c r="N196" i="8"/>
  <c r="O129" i="9"/>
  <c r="O195" i="9"/>
  <c r="O238" i="6"/>
  <c r="O239" i="6" s="1"/>
  <c r="O240" i="6" s="1"/>
  <c r="O142" i="10"/>
  <c r="O143" i="10" s="1"/>
  <c r="O150" i="10" s="1"/>
  <c r="O128" i="10"/>
  <c r="O170" i="10"/>
  <c r="O171" i="10" s="1"/>
  <c r="O178" i="10" s="1"/>
  <c r="O156" i="10"/>
  <c r="O157" i="10" s="1"/>
  <c r="O164" i="10" s="1"/>
  <c r="O184" i="10"/>
  <c r="O185" i="10" s="1"/>
  <c r="O192" i="10" s="1"/>
  <c r="O172" i="10"/>
  <c r="I245" i="8"/>
  <c r="I244" i="8"/>
  <c r="O178" i="9"/>
  <c r="M203" i="9"/>
  <c r="P231" i="6"/>
  <c r="P225" i="10"/>
  <c r="P233" i="10" s="1"/>
  <c r="P228" i="10"/>
  <c r="Q118" i="10"/>
  <c r="Q228" i="10" s="1"/>
  <c r="M198" i="6"/>
  <c r="M197" i="6"/>
  <c r="M199" i="6" s="1"/>
  <c r="M202" i="6" s="1"/>
  <c r="M243" i="6" s="1"/>
  <c r="L245" i="7"/>
  <c r="L244" i="7"/>
  <c r="E26" i="3" s="1"/>
  <c r="O215" i="7"/>
  <c r="O222" i="7" s="1"/>
  <c r="L203" i="8"/>
  <c r="K203" i="10"/>
  <c r="M198" i="11"/>
  <c r="M197" i="11"/>
  <c r="M199" i="11" s="1"/>
  <c r="M202" i="11" s="1"/>
  <c r="M243" i="11" s="1"/>
  <c r="K244" i="11"/>
  <c r="K245" i="11"/>
  <c r="P134" i="5"/>
  <c r="P170" i="6"/>
  <c r="P171" i="6" s="1"/>
  <c r="P128" i="6"/>
  <c r="P142" i="6"/>
  <c r="P143" i="6" s="1"/>
  <c r="P150" i="6" s="1"/>
  <c r="P156" i="6"/>
  <c r="P157" i="6" s="1"/>
  <c r="P172" i="6"/>
  <c r="P158" i="6"/>
  <c r="P215" i="6" s="1"/>
  <c r="P222" i="6" s="1"/>
  <c r="P210" i="11"/>
  <c r="N136" i="7"/>
  <c r="N196" i="7"/>
  <c r="P192" i="8"/>
  <c r="P164" i="8"/>
  <c r="P178" i="8"/>
  <c r="O215" i="6"/>
  <c r="O222" i="6" s="1"/>
  <c r="P192" i="9"/>
  <c r="N240" i="8"/>
  <c r="R242" i="11"/>
  <c r="R205" i="11"/>
  <c r="R179" i="11"/>
  <c r="R165" i="11"/>
  <c r="R123" i="11"/>
  <c r="R137" i="11"/>
  <c r="R115" i="11"/>
  <c r="R119" i="11" s="1"/>
  <c r="R194" i="11"/>
  <c r="R224" i="11"/>
  <c r="S114" i="11"/>
  <c r="R116" i="11"/>
  <c r="R117" i="11"/>
  <c r="R151" i="11"/>
  <c r="O164" i="6"/>
  <c r="O240" i="7"/>
  <c r="J246" i="10"/>
  <c r="H246" i="10"/>
  <c r="I246" i="10"/>
  <c r="G246" i="10"/>
  <c r="H21" i="3"/>
  <c r="P128" i="7"/>
  <c r="P142" i="7"/>
  <c r="P143" i="7" s="1"/>
  <c r="P150" i="7" s="1"/>
  <c r="P170" i="7"/>
  <c r="P171" i="7" s="1"/>
  <c r="P156" i="7"/>
  <c r="P157" i="7" s="1"/>
  <c r="P158" i="7"/>
  <c r="P215" i="7" s="1"/>
  <c r="P222" i="7" s="1"/>
  <c r="P172" i="7"/>
  <c r="P233" i="7"/>
  <c r="P240" i="7" s="1"/>
  <c r="R118" i="9"/>
  <c r="O174" i="10"/>
  <c r="N164" i="6"/>
  <c r="O215" i="11"/>
  <c r="K203" i="5"/>
  <c r="P176" i="5"/>
  <c r="P178" i="5" s="1"/>
  <c r="M198" i="8"/>
  <c r="M197" i="8"/>
  <c r="M199" i="8" s="1"/>
  <c r="M202" i="8" s="1"/>
  <c r="M243" i="8" s="1"/>
  <c r="O195" i="8"/>
  <c r="O129" i="8"/>
  <c r="O195" i="5"/>
  <c r="O129" i="5"/>
  <c r="R219" i="9"/>
  <c r="R221" i="9" s="1"/>
  <c r="R209" i="9"/>
  <c r="R169" i="9"/>
  <c r="R231" i="9"/>
  <c r="R226" i="9"/>
  <c r="R183" i="9"/>
  <c r="R122" i="9"/>
  <c r="R232" i="9"/>
  <c r="R212" i="9"/>
  <c r="R127" i="9"/>
  <c r="R121" i="9"/>
  <c r="R230" i="9"/>
  <c r="R141" i="9"/>
  <c r="R228" i="9"/>
  <c r="R227" i="9"/>
  <c r="R225" i="9"/>
  <c r="R155" i="9"/>
  <c r="R229" i="9"/>
  <c r="R120" i="9"/>
  <c r="R207" i="9"/>
  <c r="L202" i="6"/>
  <c r="L243" i="6" s="1"/>
  <c r="P156" i="10"/>
  <c r="P157" i="10" s="1"/>
  <c r="P164" i="10" s="1"/>
  <c r="P170" i="10"/>
  <c r="P171" i="10" s="1"/>
  <c r="P178" i="10" s="1"/>
  <c r="P184" i="10"/>
  <c r="P185" i="10" s="1"/>
  <c r="P192" i="10" s="1"/>
  <c r="P142" i="10"/>
  <c r="P143" i="10" s="1"/>
  <c r="P172" i="10"/>
  <c r="P128" i="10"/>
  <c r="P134" i="11"/>
  <c r="L203" i="6"/>
  <c r="O178" i="7"/>
  <c r="P238" i="6"/>
  <c r="P239" i="6" s="1"/>
  <c r="P162" i="10"/>
  <c r="Q232" i="5"/>
  <c r="Q229" i="5"/>
  <c r="Q226" i="5"/>
  <c r="Q141" i="5"/>
  <c r="Q148" i="5" s="1"/>
  <c r="Q120" i="5"/>
  <c r="Q219" i="5"/>
  <c r="Q221" i="5" s="1"/>
  <c r="Q209" i="5"/>
  <c r="Q183" i="5"/>
  <c r="Q190" i="5" s="1"/>
  <c r="Q231" i="5"/>
  <c r="Q230" i="5"/>
  <c r="Q207" i="5"/>
  <c r="Q210" i="5" s="1"/>
  <c r="Q222" i="5" s="1"/>
  <c r="Q121" i="5"/>
  <c r="Q122" i="5"/>
  <c r="Q127" i="5"/>
  <c r="Q134" i="5" s="1"/>
  <c r="Q238" i="5" s="1"/>
  <c r="Q239" i="5" s="1"/>
  <c r="Q225" i="5"/>
  <c r="Q244" i="5"/>
  <c r="C31" i="3" s="1"/>
  <c r="Q155" i="5"/>
  <c r="Q162" i="5" s="1"/>
  <c r="Q169" i="5"/>
  <c r="Q176" i="5" s="1"/>
  <c r="Q227" i="5"/>
  <c r="Q228" i="5"/>
  <c r="P233" i="11"/>
  <c r="Q230" i="6"/>
  <c r="Q227" i="6"/>
  <c r="Q212" i="6"/>
  <c r="Q169" i="6"/>
  <c r="Q207" i="6"/>
  <c r="Q219" i="6"/>
  <c r="Q221" i="6" s="1"/>
  <c r="Q120" i="6"/>
  <c r="Q244" i="6"/>
  <c r="D31" i="3" s="1"/>
  <c r="Q228" i="6"/>
  <c r="Q226" i="6"/>
  <c r="Q122" i="6"/>
  <c r="Q121" i="6"/>
  <c r="Q192" i="6" s="1"/>
  <c r="Q231" i="6"/>
  <c r="Q232" i="6"/>
  <c r="Q155" i="6"/>
  <c r="Q209" i="6"/>
  <c r="Q225" i="6"/>
  <c r="Q229" i="6"/>
  <c r="Q141" i="6"/>
  <c r="Q148" i="6" s="1"/>
  <c r="Q183" i="6"/>
  <c r="Q190" i="6" s="1"/>
  <c r="Q127" i="6"/>
  <c r="Q134" i="6" s="1"/>
  <c r="Q184" i="9"/>
  <c r="Q185" i="9" s="1"/>
  <c r="Q192" i="9" s="1"/>
  <c r="Q142" i="9"/>
  <c r="Q143" i="9" s="1"/>
  <c r="Q170" i="9"/>
  <c r="Q171" i="9" s="1"/>
  <c r="Q128" i="9"/>
  <c r="Q156" i="9"/>
  <c r="Q157" i="9" s="1"/>
  <c r="Q164" i="9" s="1"/>
  <c r="Q172" i="9"/>
  <c r="O195" i="6"/>
  <c r="O129" i="6"/>
  <c r="R234" i="9"/>
  <c r="G244" i="9"/>
  <c r="G245" i="9"/>
  <c r="P148" i="6"/>
  <c r="P233" i="5"/>
  <c r="P176" i="11"/>
  <c r="O240" i="8"/>
  <c r="R151" i="7"/>
  <c r="R205" i="7"/>
  <c r="R165" i="7"/>
  <c r="R115" i="7"/>
  <c r="R119" i="7" s="1"/>
  <c r="R194" i="7"/>
  <c r="R123" i="7"/>
  <c r="R234" i="7"/>
  <c r="S114" i="7"/>
  <c r="R137" i="7"/>
  <c r="R242" i="7"/>
  <c r="R116" i="7"/>
  <c r="R224" i="7"/>
  <c r="R117" i="7"/>
  <c r="R179" i="7"/>
  <c r="O150" i="6"/>
  <c r="Q148" i="9"/>
  <c r="Q238" i="9" s="1"/>
  <c r="Q239" i="9" s="1"/>
  <c r="Q118" i="8"/>
  <c r="Q228" i="8" s="1"/>
  <c r="O150" i="8"/>
  <c r="N136" i="5"/>
  <c r="N196" i="5"/>
  <c r="I246" i="11"/>
  <c r="O150" i="11"/>
  <c r="P240" i="9"/>
  <c r="K203" i="11"/>
  <c r="P162" i="5"/>
  <c r="P148" i="5"/>
  <c r="O148" i="10"/>
  <c r="O238" i="10" s="1"/>
  <c r="O239" i="10" s="1"/>
  <c r="O240" i="10" s="1"/>
  <c r="N136" i="10"/>
  <c r="N196" i="10"/>
  <c r="S205" i="7" l="1"/>
  <c r="S165" i="7"/>
  <c r="S115" i="7"/>
  <c r="S119" i="7" s="1"/>
  <c r="S194" i="7"/>
  <c r="S123" i="7"/>
  <c r="S234" i="7"/>
  <c r="T114" i="7"/>
  <c r="S151" i="7"/>
  <c r="S179" i="7"/>
  <c r="S137" i="7"/>
  <c r="S117" i="7"/>
  <c r="S242" i="7"/>
  <c r="S116" i="7"/>
  <c r="S224" i="7"/>
  <c r="M244" i="11"/>
  <c r="I27" i="3" s="1"/>
  <c r="M245" i="11"/>
  <c r="P196" i="9"/>
  <c r="P136" i="9"/>
  <c r="P240" i="11"/>
  <c r="Q178" i="5"/>
  <c r="Q192" i="5"/>
  <c r="Q170" i="11"/>
  <c r="Q171" i="11" s="1"/>
  <c r="Q184" i="11"/>
  <c r="Q185" i="11" s="1"/>
  <c r="Q156" i="11"/>
  <c r="Q157" i="11" s="1"/>
  <c r="Q128" i="11"/>
  <c r="Q142" i="11"/>
  <c r="Q143" i="11" s="1"/>
  <c r="Q144" i="11"/>
  <c r="Q215" i="11" s="1"/>
  <c r="P164" i="7"/>
  <c r="L202" i="9"/>
  <c r="L243" i="9" s="1"/>
  <c r="R231" i="8"/>
  <c r="R228" i="8"/>
  <c r="R225" i="8"/>
  <c r="R232" i="8"/>
  <c r="R229" i="8"/>
  <c r="R226" i="8"/>
  <c r="R169" i="8"/>
  <c r="R122" i="8"/>
  <c r="R207" i="8"/>
  <c r="R210" i="8" s="1"/>
  <c r="R222" i="8" s="1"/>
  <c r="R183" i="8"/>
  <c r="R190" i="8" s="1"/>
  <c r="R127" i="8"/>
  <c r="R121" i="8"/>
  <c r="R209" i="8"/>
  <c r="R141" i="8"/>
  <c r="R230" i="8"/>
  <c r="R227" i="8"/>
  <c r="R219" i="8"/>
  <c r="R221" i="8" s="1"/>
  <c r="R120" i="8"/>
  <c r="R212" i="8"/>
  <c r="R155" i="8"/>
  <c r="R162" i="8" s="1"/>
  <c r="L245" i="10"/>
  <c r="L244" i="10"/>
  <c r="H26" i="3" s="1"/>
  <c r="Q238" i="7"/>
  <c r="Q239" i="7" s="1"/>
  <c r="N198" i="10"/>
  <c r="N197" i="10"/>
  <c r="Q170" i="6"/>
  <c r="Q171" i="6" s="1"/>
  <c r="Q156" i="6"/>
  <c r="Q157" i="6" s="1"/>
  <c r="Q128" i="6"/>
  <c r="Q142" i="6"/>
  <c r="Q143" i="6" s="1"/>
  <c r="Q150" i="6" s="1"/>
  <c r="Q158" i="6"/>
  <c r="Q172" i="6"/>
  <c r="R148" i="9"/>
  <c r="P195" i="7"/>
  <c r="P129" i="7"/>
  <c r="F23" i="3"/>
  <c r="J246" i="8"/>
  <c r="I246" i="8"/>
  <c r="M246" i="8"/>
  <c r="L246" i="8"/>
  <c r="K246" i="8"/>
  <c r="P150" i="11"/>
  <c r="Q190" i="11"/>
  <c r="Q233" i="6"/>
  <c r="Q233" i="8"/>
  <c r="Q210" i="6"/>
  <c r="P238" i="11"/>
  <c r="P239" i="11" s="1"/>
  <c r="N197" i="7"/>
  <c r="N198" i="7"/>
  <c r="I25" i="3"/>
  <c r="L246" i="11"/>
  <c r="K246" i="11"/>
  <c r="M203" i="6"/>
  <c r="R120" i="5"/>
  <c r="R219" i="5"/>
  <c r="R221" i="5" s="1"/>
  <c r="R209" i="5"/>
  <c r="R155" i="5"/>
  <c r="R162" i="5" s="1"/>
  <c r="R231" i="5"/>
  <c r="R226" i="5"/>
  <c r="R230" i="5"/>
  <c r="R207" i="5"/>
  <c r="R121" i="5"/>
  <c r="R141" i="5"/>
  <c r="R122" i="5"/>
  <c r="R229" i="5"/>
  <c r="R225" i="5"/>
  <c r="R127" i="5"/>
  <c r="R134" i="5" s="1"/>
  <c r="R232" i="5"/>
  <c r="R169" i="5"/>
  <c r="R176" i="5" s="1"/>
  <c r="R228" i="5"/>
  <c r="R183" i="5"/>
  <c r="R244" i="5"/>
  <c r="C32" i="3" s="1"/>
  <c r="R227" i="5"/>
  <c r="N244" i="9"/>
  <c r="G28" i="3" s="1"/>
  <c r="N245" i="9"/>
  <c r="G246" i="5"/>
  <c r="H246" i="5"/>
  <c r="K246" i="5"/>
  <c r="C21" i="3"/>
  <c r="J246" i="5"/>
  <c r="I246" i="5"/>
  <c r="Q134" i="10"/>
  <c r="Q134" i="11"/>
  <c r="Q233" i="11"/>
  <c r="Q233" i="7"/>
  <c r="Q240" i="7" s="1"/>
  <c r="P195" i="5"/>
  <c r="P129" i="5"/>
  <c r="Q174" i="10"/>
  <c r="Q176" i="10"/>
  <c r="R162" i="9"/>
  <c r="M198" i="7"/>
  <c r="M197" i="7"/>
  <c r="M199" i="7" s="1"/>
  <c r="M203" i="8"/>
  <c r="L203" i="11"/>
  <c r="Q176" i="11"/>
  <c r="L245" i="6"/>
  <c r="L244" i="6"/>
  <c r="P195" i="6"/>
  <c r="P129" i="6"/>
  <c r="N197" i="11"/>
  <c r="N198" i="11"/>
  <c r="P238" i="5"/>
  <c r="P239" i="5" s="1"/>
  <c r="P240" i="5" s="1"/>
  <c r="O196" i="9"/>
  <c r="O136" i="9"/>
  <c r="P238" i="10"/>
  <c r="P239" i="10" s="1"/>
  <c r="O196" i="7"/>
  <c r="O136" i="7"/>
  <c r="O196" i="11"/>
  <c r="O136" i="11"/>
  <c r="Q162" i="6"/>
  <c r="Q238" i="6" s="1"/>
  <c r="Q239" i="6" s="1"/>
  <c r="Q160" i="6"/>
  <c r="P129" i="10"/>
  <c r="P195" i="10"/>
  <c r="R118" i="11"/>
  <c r="L203" i="5"/>
  <c r="R118" i="5"/>
  <c r="N203" i="9"/>
  <c r="Q190" i="10"/>
  <c r="Q120" i="8"/>
  <c r="Q135" i="8" s="1"/>
  <c r="Q210" i="8"/>
  <c r="Q222" i="8" s="1"/>
  <c r="P164" i="5"/>
  <c r="P240" i="10"/>
  <c r="L244" i="11"/>
  <c r="L245" i="11"/>
  <c r="G246" i="9"/>
  <c r="H246" i="9"/>
  <c r="K246" i="9"/>
  <c r="I246" i="9"/>
  <c r="J246" i="9"/>
  <c r="G21" i="3"/>
  <c r="M244" i="8"/>
  <c r="F27" i="3" s="1"/>
  <c r="M245" i="8"/>
  <c r="O129" i="10"/>
  <c r="O195" i="10"/>
  <c r="S194" i="6"/>
  <c r="S179" i="6"/>
  <c r="S137" i="6"/>
  <c r="S116" i="6"/>
  <c r="S205" i="6"/>
  <c r="S115" i="6"/>
  <c r="S119" i="6" s="1"/>
  <c r="S242" i="6"/>
  <c r="S123" i="6"/>
  <c r="S165" i="6"/>
  <c r="T114" i="6"/>
  <c r="S117" i="6"/>
  <c r="S151" i="6"/>
  <c r="S224" i="6"/>
  <c r="S234" i="6"/>
  <c r="R233" i="9"/>
  <c r="P164" i="11"/>
  <c r="P129" i="8"/>
  <c r="P195" i="8"/>
  <c r="K202" i="10"/>
  <c r="K243" i="10" s="1"/>
  <c r="Q170" i="10"/>
  <c r="Q171" i="10" s="1"/>
  <c r="Q142" i="10"/>
  <c r="Q143" i="10" s="1"/>
  <c r="Q150" i="10" s="1"/>
  <c r="Q172" i="10"/>
  <c r="Q216" i="10" s="1"/>
  <c r="Q222" i="10" s="1"/>
  <c r="Q128" i="10"/>
  <c r="Q156" i="10"/>
  <c r="Q157" i="10" s="1"/>
  <c r="Q164" i="10" s="1"/>
  <c r="Q184" i="10"/>
  <c r="Q185" i="10" s="1"/>
  <c r="Q192" i="10" s="1"/>
  <c r="R231" i="10"/>
  <c r="R228" i="10"/>
  <c r="R226" i="10"/>
  <c r="R141" i="10"/>
  <c r="R219" i="10"/>
  <c r="R221" i="10" s="1"/>
  <c r="R209" i="10"/>
  <c r="R212" i="10"/>
  <c r="R229" i="10"/>
  <c r="R227" i="10"/>
  <c r="R225" i="10"/>
  <c r="R233" i="10" s="1"/>
  <c r="R232" i="10"/>
  <c r="R230" i="10"/>
  <c r="R127" i="10"/>
  <c r="R121" i="10"/>
  <c r="R155" i="10"/>
  <c r="R122" i="10"/>
  <c r="R120" i="10"/>
  <c r="R207" i="10"/>
  <c r="R210" i="10" s="1"/>
  <c r="R169" i="10"/>
  <c r="R183" i="10"/>
  <c r="R190" i="10" s="1"/>
  <c r="R231" i="7"/>
  <c r="R228" i="7"/>
  <c r="R225" i="7"/>
  <c r="R244" i="7"/>
  <c r="E32" i="3" s="1"/>
  <c r="R183" i="7"/>
  <c r="R190" i="7" s="1"/>
  <c r="R127" i="7"/>
  <c r="R134" i="7" s="1"/>
  <c r="R238" i="7" s="1"/>
  <c r="R232" i="7"/>
  <c r="R209" i="7"/>
  <c r="R121" i="7"/>
  <c r="R192" i="7" s="1"/>
  <c r="R207" i="7"/>
  <c r="R122" i="7"/>
  <c r="R120" i="7"/>
  <c r="R229" i="7"/>
  <c r="R141" i="7"/>
  <c r="R148" i="7" s="1"/>
  <c r="R212" i="7"/>
  <c r="R230" i="7"/>
  <c r="R219" i="7"/>
  <c r="R221" i="7" s="1"/>
  <c r="R155" i="7"/>
  <c r="R239" i="7"/>
  <c r="R226" i="7"/>
  <c r="R227" i="7"/>
  <c r="R169" i="7"/>
  <c r="R160" i="7"/>
  <c r="R162" i="7"/>
  <c r="R176" i="7"/>
  <c r="R174" i="7"/>
  <c r="R174" i="9"/>
  <c r="R176" i="9"/>
  <c r="Q162" i="8"/>
  <c r="P238" i="8"/>
  <c r="Q216" i="9"/>
  <c r="Q222" i="9" s="1"/>
  <c r="N198" i="8"/>
  <c r="N197" i="8"/>
  <c r="R118" i="7"/>
  <c r="Q195" i="9"/>
  <c r="Q129" i="9"/>
  <c r="Q176" i="6"/>
  <c r="Q174" i="6"/>
  <c r="Q178" i="9"/>
  <c r="Q156" i="5"/>
  <c r="Q157" i="5" s="1"/>
  <c r="Q164" i="5" s="1"/>
  <c r="Q128" i="5"/>
  <c r="Q142" i="5"/>
  <c r="Q143" i="5" s="1"/>
  <c r="Q150" i="5" s="1"/>
  <c r="P216" i="10"/>
  <c r="P222" i="10" s="1"/>
  <c r="R210" i="9"/>
  <c r="O136" i="5"/>
  <c r="O196" i="5"/>
  <c r="P222" i="11"/>
  <c r="L203" i="9"/>
  <c r="O216" i="10"/>
  <c r="O222" i="10" s="1"/>
  <c r="S224" i="8"/>
  <c r="S118" i="8"/>
  <c r="S151" i="8"/>
  <c r="S117" i="8"/>
  <c r="S194" i="8"/>
  <c r="S137" i="8"/>
  <c r="S165" i="8"/>
  <c r="S116" i="8"/>
  <c r="S179" i="8"/>
  <c r="S115" i="8"/>
  <c r="S119" i="8" s="1"/>
  <c r="S205" i="8"/>
  <c r="T114" i="8"/>
  <c r="S123" i="8"/>
  <c r="S242" i="8"/>
  <c r="M203" i="5"/>
  <c r="Q240" i="9"/>
  <c r="Q162" i="11"/>
  <c r="E25" i="3"/>
  <c r="L246" i="7"/>
  <c r="K246" i="7"/>
  <c r="P150" i="5"/>
  <c r="R184" i="9"/>
  <c r="R185" i="9" s="1"/>
  <c r="R192" i="9" s="1"/>
  <c r="R142" i="9"/>
  <c r="R143" i="9" s="1"/>
  <c r="R128" i="9"/>
  <c r="R170" i="9"/>
  <c r="R171" i="9" s="1"/>
  <c r="R156" i="9"/>
  <c r="R157" i="9" s="1"/>
  <c r="R164" i="9" s="1"/>
  <c r="R172" i="9"/>
  <c r="P164" i="6"/>
  <c r="T242" i="9"/>
  <c r="T151" i="9"/>
  <c r="T194" i="9"/>
  <c r="T165" i="9"/>
  <c r="T117" i="9"/>
  <c r="T234" i="9" s="1"/>
  <c r="T123" i="9"/>
  <c r="T115" i="9"/>
  <c r="T119" i="9" s="1"/>
  <c r="T116" i="9"/>
  <c r="T137" i="9"/>
  <c r="T205" i="9"/>
  <c r="U114" i="9"/>
  <c r="T224" i="9"/>
  <c r="T179" i="9"/>
  <c r="S230" i="9"/>
  <c r="S227" i="9"/>
  <c r="S244" i="9"/>
  <c r="G33" i="3" s="1"/>
  <c r="S231" i="9"/>
  <c r="S226" i="9"/>
  <c r="S209" i="9"/>
  <c r="S183" i="9"/>
  <c r="S207" i="9"/>
  <c r="S232" i="9"/>
  <c r="S212" i="9"/>
  <c r="S127" i="9"/>
  <c r="S134" i="9" s="1"/>
  <c r="S121" i="9"/>
  <c r="S169" i="9"/>
  <c r="S155" i="9"/>
  <c r="S162" i="9" s="1"/>
  <c r="S228" i="9"/>
  <c r="S225" i="9"/>
  <c r="S233" i="9" s="1"/>
  <c r="S122" i="9"/>
  <c r="S229" i="9"/>
  <c r="S219" i="9"/>
  <c r="S221" i="9" s="1"/>
  <c r="S141" i="9"/>
  <c r="S148" i="9" s="1"/>
  <c r="S120" i="9"/>
  <c r="P178" i="7"/>
  <c r="P195" i="11"/>
  <c r="P129" i="11"/>
  <c r="Q148" i="11"/>
  <c r="Q146" i="11"/>
  <c r="O136" i="6"/>
  <c r="O196" i="6"/>
  <c r="P178" i="6"/>
  <c r="N198" i="6"/>
  <c r="N197" i="6"/>
  <c r="N199" i="6" s="1"/>
  <c r="L245" i="5"/>
  <c r="L244" i="5"/>
  <c r="C26" i="3" s="1"/>
  <c r="Q164" i="8"/>
  <c r="P237" i="8"/>
  <c r="P239" i="8" s="1"/>
  <c r="P240" i="8" s="1"/>
  <c r="N197" i="5"/>
  <c r="N199" i="5" s="1"/>
  <c r="N202" i="5" s="1"/>
  <c r="N243" i="5" s="1"/>
  <c r="N198" i="5"/>
  <c r="M245" i="6"/>
  <c r="M244" i="6"/>
  <c r="D27" i="3" s="1"/>
  <c r="M199" i="10"/>
  <c r="M202" i="10" s="1"/>
  <c r="M243" i="10" s="1"/>
  <c r="R234" i="8"/>
  <c r="R134" i="9"/>
  <c r="Q150" i="9"/>
  <c r="Q233" i="5"/>
  <c r="Q240" i="5" s="1"/>
  <c r="P150" i="10"/>
  <c r="R219" i="11"/>
  <c r="R221" i="11" s="1"/>
  <c r="R209" i="11"/>
  <c r="R230" i="11"/>
  <c r="R227" i="11"/>
  <c r="R212" i="11"/>
  <c r="R232" i="11"/>
  <c r="R231" i="11"/>
  <c r="R169" i="11"/>
  <c r="R207" i="11"/>
  <c r="R210" i="11" s="1"/>
  <c r="R141" i="11"/>
  <c r="R229" i="11"/>
  <c r="R244" i="11"/>
  <c r="I32" i="3" s="1"/>
  <c r="R155" i="11"/>
  <c r="R225" i="11"/>
  <c r="R127" i="11"/>
  <c r="R121" i="11"/>
  <c r="R183" i="11"/>
  <c r="R226" i="11"/>
  <c r="R120" i="11"/>
  <c r="R122" i="11"/>
  <c r="R228" i="11"/>
  <c r="R234" i="11"/>
  <c r="K245" i="5"/>
  <c r="K244" i="5"/>
  <c r="C25" i="3" s="1"/>
  <c r="L203" i="10"/>
  <c r="M199" i="5"/>
  <c r="M202" i="5" s="1"/>
  <c r="M243" i="5" s="1"/>
  <c r="Q142" i="7"/>
  <c r="Q143" i="7" s="1"/>
  <c r="Q150" i="7" s="1"/>
  <c r="Q128" i="7"/>
  <c r="Q156" i="7"/>
  <c r="Q157" i="7" s="1"/>
  <c r="Q170" i="7"/>
  <c r="Q171" i="7" s="1"/>
  <c r="Q178" i="7" s="1"/>
  <c r="Q158" i="7"/>
  <c r="Q215" i="7" s="1"/>
  <c r="Q172" i="7"/>
  <c r="Q210" i="7"/>
  <c r="O136" i="8"/>
  <c r="O196" i="8"/>
  <c r="R190" i="9"/>
  <c r="S194" i="11"/>
  <c r="S224" i="11"/>
  <c r="S242" i="11"/>
  <c r="S234" i="11"/>
  <c r="S205" i="11"/>
  <c r="S116" i="11"/>
  <c r="S137" i="11"/>
  <c r="T114" i="11"/>
  <c r="S115" i="11"/>
  <c r="S119" i="11" s="1"/>
  <c r="S123" i="11"/>
  <c r="S117" i="11"/>
  <c r="S118" i="11"/>
  <c r="S165" i="11"/>
  <c r="S151" i="11"/>
  <c r="S179" i="11"/>
  <c r="M203" i="11"/>
  <c r="S234" i="5"/>
  <c r="S179" i="5"/>
  <c r="S123" i="5"/>
  <c r="S115" i="5"/>
  <c r="S119" i="5" s="1"/>
  <c r="S194" i="5"/>
  <c r="S205" i="5"/>
  <c r="S137" i="5"/>
  <c r="S117" i="5"/>
  <c r="S224" i="5"/>
  <c r="S116" i="5"/>
  <c r="S242" i="5"/>
  <c r="S151" i="5"/>
  <c r="T114" i="5"/>
  <c r="S118" i="5"/>
  <c r="S165" i="5"/>
  <c r="Q233" i="10"/>
  <c r="Q210" i="11"/>
  <c r="S224" i="10"/>
  <c r="S116" i="10"/>
  <c r="S137" i="10"/>
  <c r="S194" i="10"/>
  <c r="S115" i="10"/>
  <c r="S119" i="10" s="1"/>
  <c r="S205" i="10"/>
  <c r="S165" i="10"/>
  <c r="S234" i="10"/>
  <c r="S179" i="10"/>
  <c r="S151" i="10"/>
  <c r="T114" i="10"/>
  <c r="S242" i="10"/>
  <c r="S117" i="10"/>
  <c r="S123" i="10"/>
  <c r="R212" i="6"/>
  <c r="R169" i="6"/>
  <c r="R207" i="6"/>
  <c r="R210" i="6" s="1"/>
  <c r="R231" i="6"/>
  <c r="R228" i="6"/>
  <c r="R225" i="6"/>
  <c r="R226" i="6"/>
  <c r="R183" i="6"/>
  <c r="R244" i="6"/>
  <c r="D32" i="3" s="1"/>
  <c r="R229" i="6"/>
  <c r="R155" i="6"/>
  <c r="R127" i="6"/>
  <c r="R134" i="6" s="1"/>
  <c r="R230" i="6"/>
  <c r="R227" i="6"/>
  <c r="R219" i="6"/>
  <c r="R221" i="6" s="1"/>
  <c r="R209" i="6"/>
  <c r="R122" i="6"/>
  <c r="R141" i="6"/>
  <c r="R120" i="6"/>
  <c r="R232" i="6"/>
  <c r="R121" i="6"/>
  <c r="R195" i="9" l="1"/>
  <c r="R129" i="9"/>
  <c r="R174" i="10"/>
  <c r="R176" i="10"/>
  <c r="P136" i="10"/>
  <c r="P196" i="10"/>
  <c r="R176" i="6"/>
  <c r="R174" i="6"/>
  <c r="T224" i="8"/>
  <c r="T234" i="8"/>
  <c r="T151" i="8"/>
  <c r="T117" i="8"/>
  <c r="T205" i="8"/>
  <c r="T165" i="8"/>
  <c r="T137" i="8"/>
  <c r="T179" i="8"/>
  <c r="T194" i="8"/>
  <c r="T115" i="8"/>
  <c r="T119" i="8" s="1"/>
  <c r="T123" i="8"/>
  <c r="T242" i="8"/>
  <c r="U114" i="8"/>
  <c r="T116" i="8"/>
  <c r="R176" i="11"/>
  <c r="Q195" i="10"/>
  <c r="Q129" i="10"/>
  <c r="R233" i="5"/>
  <c r="M202" i="7"/>
  <c r="M243" i="7" s="1"/>
  <c r="Q129" i="6"/>
  <c r="Q195" i="6"/>
  <c r="N203" i="11"/>
  <c r="R176" i="8"/>
  <c r="S232" i="5"/>
  <c r="S229" i="5"/>
  <c r="S226" i="5"/>
  <c r="S141" i="5"/>
  <c r="S148" i="5" s="1"/>
  <c r="S219" i="5"/>
  <c r="S221" i="5" s="1"/>
  <c r="S209" i="5"/>
  <c r="S155" i="5"/>
  <c r="S162" i="5" s="1"/>
  <c r="S244" i="5"/>
  <c r="C33" i="3" s="1"/>
  <c r="S230" i="5"/>
  <c r="S227" i="5"/>
  <c r="S231" i="5"/>
  <c r="S120" i="5"/>
  <c r="S207" i="5"/>
  <c r="S122" i="5"/>
  <c r="S127" i="5"/>
  <c r="S134" i="5" s="1"/>
  <c r="S225" i="5"/>
  <c r="S169" i="5"/>
  <c r="S176" i="5" s="1"/>
  <c r="S183" i="5"/>
  <c r="S190" i="5" s="1"/>
  <c r="S228" i="5"/>
  <c r="S121" i="5"/>
  <c r="R148" i="10"/>
  <c r="Q195" i="11"/>
  <c r="Q129" i="11"/>
  <c r="S212" i="11"/>
  <c r="S228" i="11"/>
  <c r="S225" i="11"/>
  <c r="S244" i="11"/>
  <c r="I33" i="3" s="1"/>
  <c r="S227" i="11"/>
  <c r="S219" i="11"/>
  <c r="S221" i="11" s="1"/>
  <c r="S230" i="11"/>
  <c r="S207" i="11"/>
  <c r="S210" i="11" s="1"/>
  <c r="S169" i="11"/>
  <c r="S120" i="11"/>
  <c r="S232" i="11"/>
  <c r="S155" i="11"/>
  <c r="S162" i="11" s="1"/>
  <c r="S122" i="11"/>
  <c r="S231" i="11"/>
  <c r="S229" i="11"/>
  <c r="S209" i="11"/>
  <c r="S183" i="11"/>
  <c r="S121" i="11"/>
  <c r="S226" i="11"/>
  <c r="S127" i="11"/>
  <c r="S141" i="11"/>
  <c r="M245" i="5"/>
  <c r="M244" i="5"/>
  <c r="R134" i="11"/>
  <c r="N203" i="6"/>
  <c r="S142" i="9"/>
  <c r="S143" i="9" s="1"/>
  <c r="S150" i="9" s="1"/>
  <c r="S170" i="9"/>
  <c r="S171" i="9" s="1"/>
  <c r="S156" i="9"/>
  <c r="S157" i="9" s="1"/>
  <c r="S164" i="9" s="1"/>
  <c r="S184" i="9"/>
  <c r="S185" i="9" s="1"/>
  <c r="S192" i="9" s="1"/>
  <c r="S128" i="9"/>
  <c r="S172" i="9"/>
  <c r="S216" i="9" s="1"/>
  <c r="O198" i="5"/>
  <c r="O197" i="5"/>
  <c r="O199" i="5" s="1"/>
  <c r="Q196" i="9"/>
  <c r="Q136" i="9"/>
  <c r="R233" i="7"/>
  <c r="R240" i="7" s="1"/>
  <c r="R162" i="10"/>
  <c r="S169" i="6"/>
  <c r="S207" i="6"/>
  <c r="S231" i="6"/>
  <c r="S228" i="6"/>
  <c r="S225" i="6"/>
  <c r="S244" i="6"/>
  <c r="D33" i="3" s="1"/>
  <c r="S183" i="6"/>
  <c r="S190" i="6" s="1"/>
  <c r="S230" i="6"/>
  <c r="S120" i="6"/>
  <c r="S229" i="6"/>
  <c r="S122" i="6"/>
  <c r="S121" i="6"/>
  <c r="S227" i="6"/>
  <c r="S212" i="6"/>
  <c r="S219" i="6"/>
  <c r="S221" i="6" s="1"/>
  <c r="S209" i="6"/>
  <c r="S155" i="6"/>
  <c r="S127" i="6"/>
  <c r="S134" i="6" s="1"/>
  <c r="S141" i="6"/>
  <c r="S148" i="6" s="1"/>
  <c r="S226" i="6"/>
  <c r="S232" i="6"/>
  <c r="P136" i="6"/>
  <c r="P196" i="6"/>
  <c r="R192" i="5"/>
  <c r="R178" i="5"/>
  <c r="N199" i="7"/>
  <c r="N202" i="7" s="1"/>
  <c r="N243" i="7" s="1"/>
  <c r="N199" i="10"/>
  <c r="N202" i="10" s="1"/>
  <c r="N243" i="10" s="1"/>
  <c r="Q164" i="11"/>
  <c r="Q240" i="6"/>
  <c r="T242" i="5"/>
  <c r="T224" i="5"/>
  <c r="T116" i="5"/>
  <c r="T115" i="5"/>
  <c r="T119" i="5" s="1"/>
  <c r="T137" i="5"/>
  <c r="T205" i="5"/>
  <c r="T123" i="5"/>
  <c r="T117" i="5"/>
  <c r="T234" i="5" s="1"/>
  <c r="T151" i="5"/>
  <c r="T165" i="5"/>
  <c r="U114" i="5"/>
  <c r="T194" i="5"/>
  <c r="T179" i="5"/>
  <c r="O198" i="9"/>
  <c r="O197" i="9"/>
  <c r="O199" i="9" s="1"/>
  <c r="Q215" i="6"/>
  <c r="Q222" i="6" s="1"/>
  <c r="R184" i="11"/>
  <c r="R185" i="11" s="1"/>
  <c r="R192" i="11" s="1"/>
  <c r="R170" i="11"/>
  <c r="R171" i="11" s="1"/>
  <c r="R178" i="11" s="1"/>
  <c r="R156" i="11"/>
  <c r="R157" i="11" s="1"/>
  <c r="R164" i="11" s="1"/>
  <c r="R128" i="11"/>
  <c r="R142" i="11"/>
  <c r="R143" i="11" s="1"/>
  <c r="R144" i="11"/>
  <c r="S174" i="9"/>
  <c r="S176" i="9"/>
  <c r="S118" i="6"/>
  <c r="Q238" i="11"/>
  <c r="Q239" i="11" s="1"/>
  <c r="O197" i="11"/>
  <c r="O199" i="11" s="1"/>
  <c r="O202" i="11" s="1"/>
  <c r="O243" i="11" s="1"/>
  <c r="O245" i="11" s="1"/>
  <c r="O198" i="11"/>
  <c r="Q164" i="6"/>
  <c r="R148" i="5"/>
  <c r="Q178" i="6"/>
  <c r="R170" i="6"/>
  <c r="R171" i="6" s="1"/>
  <c r="R128" i="6"/>
  <c r="R156" i="6"/>
  <c r="R157" i="6" s="1"/>
  <c r="R142" i="6"/>
  <c r="R143" i="6" s="1"/>
  <c r="R158" i="6"/>
  <c r="R172" i="6"/>
  <c r="Q222" i="11"/>
  <c r="O198" i="8"/>
  <c r="O197" i="8"/>
  <c r="O199" i="8" s="1"/>
  <c r="O202" i="8" s="1"/>
  <c r="O243" i="8" s="1"/>
  <c r="R233" i="11"/>
  <c r="S210" i="9"/>
  <c r="U242" i="9"/>
  <c r="U194" i="9"/>
  <c r="U165" i="9"/>
  <c r="U205" i="9"/>
  <c r="U179" i="9"/>
  <c r="U151" i="9"/>
  <c r="U116" i="9"/>
  <c r="U123" i="9"/>
  <c r="U115" i="9"/>
  <c r="U119" i="9" s="1"/>
  <c r="U234" i="9"/>
  <c r="U117" i="9"/>
  <c r="U224" i="9"/>
  <c r="U137" i="9"/>
  <c r="K244" i="10"/>
  <c r="K245" i="10"/>
  <c r="T151" i="6"/>
  <c r="T242" i="6"/>
  <c r="T224" i="6"/>
  <c r="T123" i="6"/>
  <c r="T205" i="6"/>
  <c r="T115" i="6"/>
  <c r="T119" i="6" s="1"/>
  <c r="T179" i="6"/>
  <c r="T116" i="6"/>
  <c r="U114" i="6"/>
  <c r="T194" i="6"/>
  <c r="T137" i="6"/>
  <c r="T117" i="6"/>
  <c r="T165" i="6"/>
  <c r="T118" i="6"/>
  <c r="T234" i="6"/>
  <c r="O197" i="7"/>
  <c r="O198" i="7"/>
  <c r="R210" i="5"/>
  <c r="R222" i="5" s="1"/>
  <c r="N203" i="10"/>
  <c r="R149" i="8"/>
  <c r="R148" i="8"/>
  <c r="Q192" i="11"/>
  <c r="S244" i="7"/>
  <c r="E33" i="3" s="1"/>
  <c r="S183" i="7"/>
  <c r="S190" i="7" s="1"/>
  <c r="S127" i="7"/>
  <c r="S121" i="7"/>
  <c r="S232" i="7"/>
  <c r="S229" i="7"/>
  <c r="S226" i="7"/>
  <c r="S141" i="7"/>
  <c r="S148" i="7" s="1"/>
  <c r="S228" i="7"/>
  <c r="S209" i="7"/>
  <c r="S207" i="7"/>
  <c r="S122" i="7"/>
  <c r="S120" i="7"/>
  <c r="S212" i="7"/>
  <c r="S231" i="7"/>
  <c r="S230" i="7"/>
  <c r="S219" i="7"/>
  <c r="S221" i="7" s="1"/>
  <c r="S155" i="7"/>
  <c r="S225" i="7"/>
  <c r="S169" i="7"/>
  <c r="S227" i="7"/>
  <c r="S174" i="7"/>
  <c r="S160" i="7"/>
  <c r="S176" i="7"/>
  <c r="S162" i="7"/>
  <c r="Q129" i="5"/>
  <c r="Q195" i="5"/>
  <c r="P136" i="11"/>
  <c r="P196" i="11"/>
  <c r="R150" i="9"/>
  <c r="Q240" i="11"/>
  <c r="P198" i="9"/>
  <c r="P197" i="9"/>
  <c r="Q128" i="8"/>
  <c r="Q142" i="8"/>
  <c r="Q143" i="8" s="1"/>
  <c r="R162" i="6"/>
  <c r="R160" i="6"/>
  <c r="M245" i="10"/>
  <c r="M244" i="10"/>
  <c r="H27" i="3" s="1"/>
  <c r="Q238" i="10"/>
  <c r="Q239" i="10" s="1"/>
  <c r="R192" i="6"/>
  <c r="N202" i="6"/>
  <c r="N243" i="6" s="1"/>
  <c r="Q178" i="10"/>
  <c r="Q134" i="8"/>
  <c r="N199" i="11"/>
  <c r="N202" i="11" s="1"/>
  <c r="R190" i="6"/>
  <c r="T242" i="10"/>
  <c r="T179" i="10"/>
  <c r="T123" i="10"/>
  <c r="T115" i="10"/>
  <c r="T119" i="10" s="1"/>
  <c r="T194" i="10"/>
  <c r="U114" i="10"/>
  <c r="T224" i="10"/>
  <c r="T205" i="10"/>
  <c r="T165" i="10"/>
  <c r="T116" i="10"/>
  <c r="T117" i="10"/>
  <c r="T234" i="10"/>
  <c r="T151" i="10"/>
  <c r="T137" i="10"/>
  <c r="R148" i="6"/>
  <c r="R238" i="6" s="1"/>
  <c r="R239" i="6" s="1"/>
  <c r="S118" i="10"/>
  <c r="Q176" i="8"/>
  <c r="Q178" i="8" s="1"/>
  <c r="R162" i="11"/>
  <c r="N203" i="5"/>
  <c r="O198" i="6"/>
  <c r="O197" i="6"/>
  <c r="O199" i="6" s="1"/>
  <c r="O202" i="6" s="1"/>
  <c r="O243" i="6" s="1"/>
  <c r="S190" i="9"/>
  <c r="R216" i="9"/>
  <c r="R222" i="9"/>
  <c r="R142" i="7"/>
  <c r="R143" i="7" s="1"/>
  <c r="R150" i="7" s="1"/>
  <c r="R170" i="7"/>
  <c r="R171" i="7" s="1"/>
  <c r="R178" i="7" s="1"/>
  <c r="R128" i="7"/>
  <c r="R158" i="7"/>
  <c r="R215" i="7" s="1"/>
  <c r="R156" i="7"/>
  <c r="R157" i="7" s="1"/>
  <c r="R164" i="7" s="1"/>
  <c r="R172" i="7"/>
  <c r="R134" i="10"/>
  <c r="R238" i="10" s="1"/>
  <c r="R239" i="10" s="1"/>
  <c r="R240" i="10" s="1"/>
  <c r="Q149" i="8"/>
  <c r="Q237" i="8" s="1"/>
  <c r="O196" i="10"/>
  <c r="O136" i="10"/>
  <c r="M246" i="11"/>
  <c r="Q178" i="11"/>
  <c r="N203" i="8"/>
  <c r="P136" i="8"/>
  <c r="P196" i="8"/>
  <c r="T205" i="7"/>
  <c r="T165" i="7"/>
  <c r="T224" i="7"/>
  <c r="T194" i="7"/>
  <c r="T123" i="7"/>
  <c r="T234" i="7"/>
  <c r="U114" i="7"/>
  <c r="T137" i="7"/>
  <c r="T179" i="7"/>
  <c r="T151" i="7"/>
  <c r="T115" i="7"/>
  <c r="T119" i="7" s="1"/>
  <c r="T242" i="7"/>
  <c r="T116" i="7"/>
  <c r="T118" i="7"/>
  <c r="T117" i="7"/>
  <c r="R238" i="5"/>
  <c r="R239" i="5" s="1"/>
  <c r="L245" i="9"/>
  <c r="L244" i="9"/>
  <c r="Q195" i="7"/>
  <c r="Q129" i="7"/>
  <c r="R238" i="9"/>
  <c r="R239" i="9" s="1"/>
  <c r="R240" i="9" s="1"/>
  <c r="T230" i="9"/>
  <c r="T227" i="9"/>
  <c r="T212" i="9"/>
  <c r="T226" i="9"/>
  <c r="T209" i="9"/>
  <c r="T183" i="9"/>
  <c r="T207" i="9"/>
  <c r="T210" i="9" s="1"/>
  <c r="T228" i="9"/>
  <c r="T219" i="9"/>
  <c r="T221" i="9" s="1"/>
  <c r="T231" i="9"/>
  <c r="T169" i="9"/>
  <c r="T155" i="9"/>
  <c r="T141" i="9"/>
  <c r="T225" i="9"/>
  <c r="T122" i="9"/>
  <c r="T229" i="9"/>
  <c r="T127" i="9"/>
  <c r="T121" i="9"/>
  <c r="T120" i="9"/>
  <c r="T244" i="9"/>
  <c r="G34" i="3" s="1"/>
  <c r="T232" i="9"/>
  <c r="Q190" i="8"/>
  <c r="Q192" i="8" s="1"/>
  <c r="R128" i="5"/>
  <c r="R142" i="5"/>
  <c r="R143" i="5" s="1"/>
  <c r="R150" i="5" s="1"/>
  <c r="R156" i="5"/>
  <c r="R157" i="5" s="1"/>
  <c r="R164" i="5" s="1"/>
  <c r="R128" i="8"/>
  <c r="R142" i="8"/>
  <c r="R143" i="8" s="1"/>
  <c r="R190" i="11"/>
  <c r="M203" i="7"/>
  <c r="R233" i="6"/>
  <c r="T242" i="11"/>
  <c r="T194" i="11"/>
  <c r="T151" i="11"/>
  <c r="T205" i="11"/>
  <c r="T179" i="11"/>
  <c r="T165" i="11"/>
  <c r="T123" i="11"/>
  <c r="T115" i="11"/>
  <c r="T119" i="11" s="1"/>
  <c r="T224" i="11"/>
  <c r="U114" i="11"/>
  <c r="T137" i="11"/>
  <c r="T118" i="11"/>
  <c r="T117" i="11"/>
  <c r="T234" i="11" s="1"/>
  <c r="T116" i="11"/>
  <c r="Q222" i="7"/>
  <c r="N245" i="5"/>
  <c r="N244" i="5"/>
  <c r="C28" i="3" s="1"/>
  <c r="S232" i="8"/>
  <c r="S229" i="8"/>
  <c r="S226" i="8"/>
  <c r="S207" i="8"/>
  <c r="S210" i="8" s="1"/>
  <c r="S228" i="8"/>
  <c r="S183" i="8"/>
  <c r="S127" i="8"/>
  <c r="S121" i="8"/>
  <c r="S209" i="8"/>
  <c r="S141" i="8"/>
  <c r="S231" i="8"/>
  <c r="S230" i="8"/>
  <c r="S169" i="8"/>
  <c r="S176" i="8" s="1"/>
  <c r="S212" i="8"/>
  <c r="S219" i="8"/>
  <c r="S221" i="8" s="1"/>
  <c r="S120" i="8"/>
  <c r="S227" i="8"/>
  <c r="S122" i="8"/>
  <c r="S155" i="8"/>
  <c r="S162" i="8" s="1"/>
  <c r="S225" i="8"/>
  <c r="Q148" i="8"/>
  <c r="D26" i="3"/>
  <c r="M246" i="6"/>
  <c r="L246" i="6"/>
  <c r="P196" i="5"/>
  <c r="P136" i="5"/>
  <c r="L246" i="5"/>
  <c r="R190" i="5"/>
  <c r="P196" i="7"/>
  <c r="P136" i="7"/>
  <c r="R164" i="8"/>
  <c r="R192" i="8"/>
  <c r="R178" i="8"/>
  <c r="R233" i="8"/>
  <c r="R146" i="11"/>
  <c r="R148" i="11"/>
  <c r="Q164" i="7"/>
  <c r="S238" i="9"/>
  <c r="S239" i="9" s="1"/>
  <c r="S240" i="9" s="1"/>
  <c r="T118" i="9"/>
  <c r="R156" i="10"/>
  <c r="R157" i="10" s="1"/>
  <c r="R164" i="10" s="1"/>
  <c r="R142" i="10"/>
  <c r="R143" i="10" s="1"/>
  <c r="R150" i="10" s="1"/>
  <c r="R172" i="10"/>
  <c r="R216" i="10" s="1"/>
  <c r="R222" i="10" s="1"/>
  <c r="R170" i="10"/>
  <c r="R171" i="10" s="1"/>
  <c r="R178" i="10" s="1"/>
  <c r="R128" i="10"/>
  <c r="R184" i="10"/>
  <c r="R185" i="10" s="1"/>
  <c r="R192" i="10" s="1"/>
  <c r="Q150" i="11"/>
  <c r="S244" i="10"/>
  <c r="H33" i="3" s="1"/>
  <c r="S120" i="10"/>
  <c r="S155" i="10"/>
  <c r="S162" i="10" s="1"/>
  <c r="S212" i="10"/>
  <c r="S231" i="10"/>
  <c r="S225" i="10"/>
  <c r="S232" i="10"/>
  <c r="S230" i="10"/>
  <c r="S183" i="10"/>
  <c r="S190" i="10" s="1"/>
  <c r="S227" i="10"/>
  <c r="S127" i="10"/>
  <c r="S134" i="10" s="1"/>
  <c r="S121" i="10"/>
  <c r="S228" i="10"/>
  <c r="S226" i="10"/>
  <c r="S169" i="10"/>
  <c r="S219" i="10"/>
  <c r="S221" i="10" s="1"/>
  <c r="S141" i="10"/>
  <c r="S148" i="10" s="1"/>
  <c r="S122" i="10"/>
  <c r="S209" i="10"/>
  <c r="S207" i="10"/>
  <c r="S229" i="10"/>
  <c r="Q240" i="10"/>
  <c r="R178" i="9"/>
  <c r="S234" i="8"/>
  <c r="N199" i="8"/>
  <c r="N202" i="8" s="1"/>
  <c r="N243" i="8" s="1"/>
  <c r="R210" i="7"/>
  <c r="R222" i="7" s="1"/>
  <c r="I26" i="3"/>
  <c r="M203" i="10"/>
  <c r="M246" i="5"/>
  <c r="R135" i="8"/>
  <c r="R237" i="8" s="1"/>
  <c r="R134" i="8"/>
  <c r="S118" i="7"/>
  <c r="U137" i="10" l="1"/>
  <c r="U205" i="10"/>
  <c r="U194" i="10"/>
  <c r="U179" i="10"/>
  <c r="U224" i="10"/>
  <c r="U165" i="10"/>
  <c r="U116" i="10"/>
  <c r="U234" i="10"/>
  <c r="U115" i="10"/>
  <c r="U119" i="10" s="1"/>
  <c r="U123" i="10"/>
  <c r="U242" i="10"/>
  <c r="U117" i="10"/>
  <c r="U151" i="10"/>
  <c r="N244" i="7"/>
  <c r="E28" i="3" s="1"/>
  <c r="N245" i="7"/>
  <c r="T170" i="9"/>
  <c r="T171" i="9" s="1"/>
  <c r="T156" i="9"/>
  <c r="T157" i="9" s="1"/>
  <c r="T164" i="9" s="1"/>
  <c r="T172" i="9"/>
  <c r="T216" i="9" s="1"/>
  <c r="T222" i="9" s="1"/>
  <c r="T142" i="9"/>
  <c r="T143" i="9" s="1"/>
  <c r="T150" i="9" s="1"/>
  <c r="T184" i="9"/>
  <c r="T185" i="9" s="1"/>
  <c r="T128" i="9"/>
  <c r="Q136" i="6"/>
  <c r="Q196" i="6"/>
  <c r="R195" i="7"/>
  <c r="R129" i="7"/>
  <c r="Q196" i="11"/>
  <c r="Q136" i="11"/>
  <c r="P198" i="10"/>
  <c r="P197" i="10"/>
  <c r="P199" i="10" s="1"/>
  <c r="P202" i="10" s="1"/>
  <c r="P243" i="10" s="1"/>
  <c r="R195" i="8"/>
  <c r="R129" i="8"/>
  <c r="R150" i="6"/>
  <c r="O203" i="9"/>
  <c r="S148" i="11"/>
  <c r="S146" i="11"/>
  <c r="S164" i="8"/>
  <c r="S178" i="8"/>
  <c r="S135" i="8"/>
  <c r="S134" i="8"/>
  <c r="S238" i="8" s="1"/>
  <c r="R129" i="5"/>
  <c r="R195" i="5"/>
  <c r="T233" i="9"/>
  <c r="U151" i="6"/>
  <c r="U205" i="6"/>
  <c r="U165" i="6"/>
  <c r="U179" i="6"/>
  <c r="U137" i="6"/>
  <c r="U194" i="6"/>
  <c r="U117" i="6"/>
  <c r="U123" i="6"/>
  <c r="U234" i="6"/>
  <c r="U224" i="6"/>
  <c r="U116" i="6"/>
  <c r="U242" i="6"/>
  <c r="U115" i="6"/>
  <c r="U119" i="6" s="1"/>
  <c r="R178" i="6"/>
  <c r="U179" i="5"/>
  <c r="U123" i="5"/>
  <c r="U115" i="5"/>
  <c r="U119" i="5" s="1"/>
  <c r="U137" i="5"/>
  <c r="U194" i="5"/>
  <c r="U118" i="5"/>
  <c r="U224" i="5"/>
  <c r="U116" i="5"/>
  <c r="U165" i="5"/>
  <c r="U242" i="5"/>
  <c r="U151" i="5"/>
  <c r="U117" i="5"/>
  <c r="U205" i="5"/>
  <c r="S210" i="6"/>
  <c r="S210" i="5"/>
  <c r="S222" i="5" s="1"/>
  <c r="O202" i="5"/>
  <c r="O243" i="5" s="1"/>
  <c r="T190" i="9"/>
  <c r="V190" i="9" s="1"/>
  <c r="R215" i="6"/>
  <c r="R222" i="6" s="1"/>
  <c r="S170" i="11"/>
  <c r="S171" i="11" s="1"/>
  <c r="S156" i="11"/>
  <c r="S157" i="11" s="1"/>
  <c r="S164" i="11" s="1"/>
  <c r="S184" i="11"/>
  <c r="S185" i="11" s="1"/>
  <c r="S128" i="11"/>
  <c r="S142" i="11"/>
  <c r="S143" i="11" s="1"/>
  <c r="S144" i="11"/>
  <c r="S215" i="11" s="1"/>
  <c r="S222" i="11" s="1"/>
  <c r="T134" i="9"/>
  <c r="S233" i="6"/>
  <c r="M244" i="7"/>
  <c r="M245" i="7"/>
  <c r="S195" i="9"/>
  <c r="S129" i="9"/>
  <c r="S238" i="5"/>
  <c r="S239" i="5" s="1"/>
  <c r="T118" i="8"/>
  <c r="S233" i="8"/>
  <c r="P198" i="6"/>
  <c r="P197" i="6"/>
  <c r="P199" i="6" s="1"/>
  <c r="S170" i="10"/>
  <c r="S171" i="10" s="1"/>
  <c r="S184" i="10"/>
  <c r="S185" i="10" s="1"/>
  <c r="S192" i="10" s="1"/>
  <c r="S142" i="10"/>
  <c r="S143" i="10" s="1"/>
  <c r="S150" i="10" s="1"/>
  <c r="S128" i="10"/>
  <c r="S172" i="10"/>
  <c r="S156" i="10"/>
  <c r="S157" i="10" s="1"/>
  <c r="S164" i="10" s="1"/>
  <c r="S190" i="8"/>
  <c r="S192" i="8" s="1"/>
  <c r="T148" i="9"/>
  <c r="T244" i="10"/>
  <c r="H34" i="3" s="1"/>
  <c r="T232" i="10"/>
  <c r="T229" i="10"/>
  <c r="T226" i="10"/>
  <c r="T219" i="10"/>
  <c r="T221" i="10" s="1"/>
  <c r="T209" i="10"/>
  <c r="T231" i="10"/>
  <c r="T228" i="10"/>
  <c r="T169" i="10"/>
  <c r="T122" i="10"/>
  <c r="T207" i="10"/>
  <c r="T210" i="10" s="1"/>
  <c r="T230" i="10"/>
  <c r="T183" i="10"/>
  <c r="T121" i="10"/>
  <c r="T155" i="10"/>
  <c r="T162" i="10" s="1"/>
  <c r="T225" i="10"/>
  <c r="T233" i="10" s="1"/>
  <c r="T212" i="10"/>
  <c r="T120" i="10"/>
  <c r="T141" i="10"/>
  <c r="T227" i="10"/>
  <c r="T127" i="10"/>
  <c r="Q136" i="5"/>
  <c r="Q196" i="5"/>
  <c r="R215" i="11"/>
  <c r="R222" i="11" s="1"/>
  <c r="S176" i="6"/>
  <c r="S238" i="6" s="1"/>
  <c r="S239" i="6" s="1"/>
  <c r="S174" i="6"/>
  <c r="S178" i="9"/>
  <c r="S190" i="11"/>
  <c r="S156" i="5"/>
  <c r="S157" i="5" s="1"/>
  <c r="S164" i="5" s="1"/>
  <c r="S128" i="5"/>
  <c r="S142" i="5"/>
  <c r="S143" i="5" s="1"/>
  <c r="S150" i="5" s="1"/>
  <c r="R196" i="9"/>
  <c r="R136" i="9"/>
  <c r="U242" i="11"/>
  <c r="U224" i="11"/>
  <c r="U234" i="11"/>
  <c r="U165" i="11"/>
  <c r="U137" i="11"/>
  <c r="U118" i="11"/>
  <c r="U194" i="11"/>
  <c r="U117" i="11"/>
  <c r="U116" i="11"/>
  <c r="U115" i="11"/>
  <c r="U119" i="11" s="1"/>
  <c r="U179" i="11"/>
  <c r="U205" i="11"/>
  <c r="U123" i="11"/>
  <c r="U151" i="11"/>
  <c r="N245" i="6"/>
  <c r="N244" i="6"/>
  <c r="R150" i="8"/>
  <c r="S233" i="10"/>
  <c r="P197" i="7"/>
  <c r="P199" i="7" s="1"/>
  <c r="P202" i="7" s="1"/>
  <c r="P243" i="7" s="1"/>
  <c r="P198" i="7"/>
  <c r="P198" i="11"/>
  <c r="P197" i="11"/>
  <c r="P199" i="11" s="1"/>
  <c r="P202" i="11" s="1"/>
  <c r="P243" i="11" s="1"/>
  <c r="P245" i="11" s="1"/>
  <c r="S233" i="5"/>
  <c r="S240" i="5" s="1"/>
  <c r="T232" i="7"/>
  <c r="T229" i="7"/>
  <c r="T226" i="7"/>
  <c r="T141" i="7"/>
  <c r="T148" i="7" s="1"/>
  <c r="T120" i="7"/>
  <c r="T244" i="7"/>
  <c r="E34" i="3" s="1"/>
  <c r="T207" i="7"/>
  <c r="T122" i="7"/>
  <c r="T121" i="7"/>
  <c r="T212" i="7"/>
  <c r="T231" i="7"/>
  <c r="T227" i="7"/>
  <c r="T219" i="7"/>
  <c r="T221" i="7" s="1"/>
  <c r="T127" i="7"/>
  <c r="T134" i="7" s="1"/>
  <c r="T230" i="7"/>
  <c r="T155" i="7"/>
  <c r="T228" i="7"/>
  <c r="T209" i="7"/>
  <c r="T225" i="7"/>
  <c r="T169" i="7"/>
  <c r="T183" i="7"/>
  <c r="T176" i="7"/>
  <c r="T174" i="7"/>
  <c r="T160" i="7"/>
  <c r="T162" i="7"/>
  <c r="R164" i="6"/>
  <c r="R129" i="6"/>
  <c r="R195" i="6"/>
  <c r="T162" i="9"/>
  <c r="P197" i="8"/>
  <c r="P198" i="8"/>
  <c r="O198" i="10"/>
  <c r="O197" i="10"/>
  <c r="O199" i="10" s="1"/>
  <c r="O244" i="6"/>
  <c r="D29" i="3" s="1"/>
  <c r="O245" i="6"/>
  <c r="N246" i="5"/>
  <c r="S192" i="7"/>
  <c r="U118" i="9"/>
  <c r="S222" i="9"/>
  <c r="R150" i="11"/>
  <c r="S192" i="6"/>
  <c r="T232" i="8"/>
  <c r="T229" i="8"/>
  <c r="T226" i="8"/>
  <c r="T219" i="8"/>
  <c r="T221" i="8" s="1"/>
  <c r="T228" i="8"/>
  <c r="T183" i="8"/>
  <c r="T127" i="8"/>
  <c r="T121" i="8"/>
  <c r="T227" i="8"/>
  <c r="T231" i="8"/>
  <c r="T207" i="8"/>
  <c r="T230" i="8"/>
  <c r="T169" i="8"/>
  <c r="T176" i="8" s="1"/>
  <c r="T212" i="8"/>
  <c r="T141" i="8"/>
  <c r="T120" i="8"/>
  <c r="T209" i="8"/>
  <c r="T122" i="8"/>
  <c r="T155" i="8"/>
  <c r="T225" i="8"/>
  <c r="Q197" i="9"/>
  <c r="Q198" i="9"/>
  <c r="G26" i="3"/>
  <c r="N246" i="9"/>
  <c r="M246" i="9"/>
  <c r="L246" i="9"/>
  <c r="O202" i="9"/>
  <c r="O243" i="9" s="1"/>
  <c r="S162" i="6"/>
  <c r="S160" i="6"/>
  <c r="O203" i="5"/>
  <c r="S148" i="8"/>
  <c r="S149" i="8"/>
  <c r="T118" i="10"/>
  <c r="S233" i="7"/>
  <c r="S240" i="7" s="1"/>
  <c r="T207" i="6"/>
  <c r="T231" i="6"/>
  <c r="T228" i="6"/>
  <c r="T225" i="6"/>
  <c r="T244" i="6"/>
  <c r="D34" i="3" s="1"/>
  <c r="T183" i="6"/>
  <c r="T229" i="6"/>
  <c r="T226" i="6"/>
  <c r="T120" i="6"/>
  <c r="T230" i="6"/>
  <c r="T212" i="6"/>
  <c r="T219" i="6"/>
  <c r="T221" i="6" s="1"/>
  <c r="T209" i="6"/>
  <c r="T232" i="6"/>
  <c r="T122" i="6"/>
  <c r="T227" i="6"/>
  <c r="T169" i="6"/>
  <c r="T141" i="6"/>
  <c r="T121" i="6"/>
  <c r="T155" i="6"/>
  <c r="T127" i="6"/>
  <c r="T134" i="6" s="1"/>
  <c r="S176" i="11"/>
  <c r="S174" i="10"/>
  <c r="S176" i="10"/>
  <c r="S134" i="11"/>
  <c r="N203" i="7"/>
  <c r="R240" i="5"/>
  <c r="H25" i="3"/>
  <c r="K246" i="10"/>
  <c r="L246" i="10"/>
  <c r="M246" i="10"/>
  <c r="Q196" i="10"/>
  <c r="Q136" i="10"/>
  <c r="R238" i="8"/>
  <c r="R239" i="8" s="1"/>
  <c r="R240" i="8" s="1"/>
  <c r="P198" i="5"/>
  <c r="P197" i="5"/>
  <c r="P199" i="5" s="1"/>
  <c r="P202" i="5" s="1"/>
  <c r="P243" i="5" s="1"/>
  <c r="S142" i="8"/>
  <c r="S143" i="8" s="1"/>
  <c r="S128" i="8"/>
  <c r="T230" i="11"/>
  <c r="T227" i="11"/>
  <c r="T207" i="11"/>
  <c r="T231" i="11"/>
  <c r="T169" i="11"/>
  <c r="T176" i="11" s="1"/>
  <c r="T219" i="11"/>
  <c r="T221" i="11" s="1"/>
  <c r="T244" i="11"/>
  <c r="I34" i="3" s="1"/>
  <c r="T228" i="11"/>
  <c r="T229" i="11"/>
  <c r="T212" i="11"/>
  <c r="T122" i="11"/>
  <c r="T232" i="11"/>
  <c r="T141" i="11"/>
  <c r="T155" i="11"/>
  <c r="T162" i="11" s="1"/>
  <c r="T225" i="11"/>
  <c r="T233" i="11" s="1"/>
  <c r="T209" i="11"/>
  <c r="T183" i="11"/>
  <c r="T190" i="11" s="1"/>
  <c r="T121" i="11"/>
  <c r="T226" i="11"/>
  <c r="T127" i="11"/>
  <c r="T134" i="11" s="1"/>
  <c r="T120" i="11"/>
  <c r="T176" i="9"/>
  <c r="T174" i="9"/>
  <c r="O203" i="6"/>
  <c r="Q150" i="8"/>
  <c r="S142" i="7"/>
  <c r="S143" i="7" s="1"/>
  <c r="S150" i="7" s="1"/>
  <c r="S156" i="7"/>
  <c r="S157" i="7" s="1"/>
  <c r="S164" i="7" s="1"/>
  <c r="S128" i="7"/>
  <c r="S170" i="7"/>
  <c r="S171" i="7" s="1"/>
  <c r="S178" i="7" s="1"/>
  <c r="S172" i="7"/>
  <c r="S158" i="7"/>
  <c r="S134" i="7"/>
  <c r="S238" i="7" s="1"/>
  <c r="S239" i="7" s="1"/>
  <c r="U212" i="9"/>
  <c r="V212" i="9" s="1"/>
  <c r="U226" i="9"/>
  <c r="U209" i="9"/>
  <c r="U183" i="9"/>
  <c r="U190" i="9" s="1"/>
  <c r="U207" i="9"/>
  <c r="U210" i="9" s="1"/>
  <c r="V210" i="9" s="1"/>
  <c r="U228" i="9"/>
  <c r="V228" i="9" s="1"/>
  <c r="U219" i="9"/>
  <c r="U221" i="9" s="1"/>
  <c r="V221" i="9" s="1"/>
  <c r="U141" i="9"/>
  <c r="U232" i="9"/>
  <c r="U127" i="9"/>
  <c r="U121" i="9"/>
  <c r="U231" i="9"/>
  <c r="V231" i="9" s="1"/>
  <c r="U169" i="9"/>
  <c r="U155" i="9"/>
  <c r="U162" i="9" s="1"/>
  <c r="V162" i="9" s="1"/>
  <c r="U230" i="9"/>
  <c r="U244" i="9"/>
  <c r="G35" i="3" s="1"/>
  <c r="U229" i="9"/>
  <c r="V229" i="9" s="1"/>
  <c r="U120" i="9"/>
  <c r="V120" i="9" s="1"/>
  <c r="U225" i="9"/>
  <c r="U122" i="9"/>
  <c r="U227" i="9"/>
  <c r="V215" i="9"/>
  <c r="V226" i="9"/>
  <c r="V230" i="9"/>
  <c r="V219" i="9"/>
  <c r="V206" i="9"/>
  <c r="V126" i="9"/>
  <c r="V125" i="9"/>
  <c r="V147" i="9"/>
  <c r="V188" i="9"/>
  <c r="V133" i="9"/>
  <c r="V131" i="9"/>
  <c r="V161" i="9"/>
  <c r="V140" i="9"/>
  <c r="V237" i="9"/>
  <c r="V173" i="9"/>
  <c r="V175" i="9"/>
  <c r="V227" i="9"/>
  <c r="V189" i="9"/>
  <c r="V213" i="9"/>
  <c r="V132" i="9"/>
  <c r="V158" i="9"/>
  <c r="V135" i="9"/>
  <c r="V159" i="9"/>
  <c r="V167" i="9"/>
  <c r="V139" i="9"/>
  <c r="V236" i="9"/>
  <c r="V145" i="9"/>
  <c r="V214" i="9"/>
  <c r="V144" i="9"/>
  <c r="V232" i="9"/>
  <c r="V160" i="9"/>
  <c r="V154" i="9"/>
  <c r="V220" i="9"/>
  <c r="V149" i="9"/>
  <c r="V191" i="9"/>
  <c r="V146" i="9"/>
  <c r="V163" i="9"/>
  <c r="V181" i="9"/>
  <c r="V187" i="9"/>
  <c r="V209" i="9"/>
  <c r="V182" i="9"/>
  <c r="V168" i="9"/>
  <c r="V211" i="9"/>
  <c r="V234" i="9"/>
  <c r="V153" i="9"/>
  <c r="V208" i="9"/>
  <c r="V225" i="9"/>
  <c r="V217" i="9"/>
  <c r="V130" i="9"/>
  <c r="V177" i="9"/>
  <c r="V235" i="9"/>
  <c r="V186" i="9"/>
  <c r="R195" i="11"/>
  <c r="R129" i="11"/>
  <c r="T118" i="5"/>
  <c r="N244" i="10"/>
  <c r="H28" i="3" s="1"/>
  <c r="N245" i="10"/>
  <c r="U205" i="7"/>
  <c r="U165" i="7"/>
  <c r="U224" i="7"/>
  <c r="U179" i="7"/>
  <c r="U123" i="7"/>
  <c r="U137" i="7"/>
  <c r="U151" i="7"/>
  <c r="U115" i="7"/>
  <c r="U119" i="7" s="1"/>
  <c r="U242" i="7"/>
  <c r="U194" i="7"/>
  <c r="U116" i="7"/>
  <c r="U117" i="7"/>
  <c r="S238" i="10"/>
  <c r="S239" i="10" s="1"/>
  <c r="S222" i="8"/>
  <c r="R240" i="6"/>
  <c r="Q136" i="7"/>
  <c r="Q196" i="7"/>
  <c r="Q238" i="8"/>
  <c r="Q239" i="8" s="1"/>
  <c r="Q240" i="8" s="1"/>
  <c r="Q195" i="8"/>
  <c r="Q129" i="8"/>
  <c r="O203" i="7"/>
  <c r="O245" i="8"/>
  <c r="O244" i="8"/>
  <c r="F29" i="3" s="1"/>
  <c r="R238" i="11"/>
  <c r="R239" i="11" s="1"/>
  <c r="R240" i="11" s="1"/>
  <c r="S233" i="11"/>
  <c r="U224" i="8"/>
  <c r="U117" i="8"/>
  <c r="U205" i="8"/>
  <c r="U165" i="8"/>
  <c r="U179" i="8"/>
  <c r="U194" i="8"/>
  <c r="U151" i="8"/>
  <c r="U115" i="8"/>
  <c r="U119" i="8" s="1"/>
  <c r="U242" i="8"/>
  <c r="U123" i="8"/>
  <c r="U116" i="8"/>
  <c r="U137" i="8"/>
  <c r="N244" i="8"/>
  <c r="N245" i="8"/>
  <c r="S210" i="10"/>
  <c r="R129" i="10"/>
  <c r="R195" i="10"/>
  <c r="P199" i="9"/>
  <c r="P202" i="9" s="1"/>
  <c r="P243" i="9" s="1"/>
  <c r="S210" i="7"/>
  <c r="O199" i="7"/>
  <c r="O202" i="7" s="1"/>
  <c r="O243" i="7" s="1"/>
  <c r="O203" i="8"/>
  <c r="O203" i="11"/>
  <c r="T120" i="5"/>
  <c r="T155" i="5"/>
  <c r="T162" i="5" s="1"/>
  <c r="T244" i="5"/>
  <c r="C34" i="3" s="1"/>
  <c r="T230" i="5"/>
  <c r="T227" i="5"/>
  <c r="T226" i="5"/>
  <c r="T219" i="5"/>
  <c r="T221" i="5" s="1"/>
  <c r="T207" i="5"/>
  <c r="T210" i="5" s="1"/>
  <c r="T222" i="5" s="1"/>
  <c r="T121" i="5"/>
  <c r="T209" i="5"/>
  <c r="T127" i="5"/>
  <c r="T134" i="5" s="1"/>
  <c r="T141" i="5"/>
  <c r="T148" i="5" s="1"/>
  <c r="T225" i="5"/>
  <c r="T229" i="5"/>
  <c r="T169" i="5"/>
  <c r="T176" i="5" s="1"/>
  <c r="T183" i="5"/>
  <c r="T190" i="5" s="1"/>
  <c r="T228" i="5"/>
  <c r="T232" i="5"/>
  <c r="T122" i="5"/>
  <c r="T231" i="5"/>
  <c r="S156" i="6"/>
  <c r="S157" i="6" s="1"/>
  <c r="S170" i="6"/>
  <c r="S171" i="6" s="1"/>
  <c r="S128" i="6"/>
  <c r="S142" i="6"/>
  <c r="S143" i="6" s="1"/>
  <c r="S150" i="6" s="1"/>
  <c r="S158" i="6"/>
  <c r="S172" i="6"/>
  <c r="C27" i="3"/>
  <c r="S192" i="5"/>
  <c r="S178" i="5"/>
  <c r="V174" i="9" l="1"/>
  <c r="V134" i="9"/>
  <c r="D28" i="3"/>
  <c r="N246" i="6"/>
  <c r="O246" i="6"/>
  <c r="T233" i="5"/>
  <c r="V207" i="9"/>
  <c r="P203" i="9"/>
  <c r="S237" i="8"/>
  <c r="S239" i="8" s="1"/>
  <c r="T238" i="5"/>
  <c r="T239" i="5" s="1"/>
  <c r="Q197" i="7"/>
  <c r="Q198" i="7"/>
  <c r="T210" i="11"/>
  <c r="T162" i="6"/>
  <c r="T160" i="6"/>
  <c r="Q197" i="5"/>
  <c r="Q199" i="5" s="1"/>
  <c r="Q198" i="5"/>
  <c r="S178" i="6"/>
  <c r="U234" i="8"/>
  <c r="U118" i="7"/>
  <c r="V156" i="9"/>
  <c r="T190" i="7"/>
  <c r="T238" i="7" s="1"/>
  <c r="T192" i="7"/>
  <c r="S150" i="11"/>
  <c r="Q198" i="11"/>
  <c r="Q197" i="11"/>
  <c r="Q199" i="11" s="1"/>
  <c r="Q202" i="11" s="1"/>
  <c r="Q243" i="11" s="1"/>
  <c r="Q245" i="11" s="1"/>
  <c r="S178" i="10"/>
  <c r="R196" i="8"/>
  <c r="R136" i="8"/>
  <c r="U118" i="8"/>
  <c r="U230" i="8" s="1"/>
  <c r="V230" i="8" s="1"/>
  <c r="R196" i="5"/>
  <c r="R136" i="5"/>
  <c r="T190" i="10"/>
  <c r="V190" i="10" s="1"/>
  <c r="S240" i="6"/>
  <c r="U176" i="9"/>
  <c r="V176" i="9" s="1"/>
  <c r="U174" i="9"/>
  <c r="O202" i="10"/>
  <c r="O243" i="10" s="1"/>
  <c r="P203" i="6"/>
  <c r="P203" i="10"/>
  <c r="S129" i="6"/>
  <c r="S195" i="6"/>
  <c r="U219" i="8"/>
  <c r="U221" i="8" s="1"/>
  <c r="V221" i="8" s="1"/>
  <c r="U183" i="8"/>
  <c r="U127" i="8"/>
  <c r="U121" i="8"/>
  <c r="U232" i="8"/>
  <c r="U231" i="8"/>
  <c r="U141" i="8"/>
  <c r="U169" i="8"/>
  <c r="U212" i="8"/>
  <c r="V212" i="8" s="1"/>
  <c r="U120" i="8"/>
  <c r="V120" i="8" s="1"/>
  <c r="U207" i="8"/>
  <c r="V207" i="8" s="1"/>
  <c r="U209" i="8"/>
  <c r="U122" i="8"/>
  <c r="U155" i="8"/>
  <c r="V160" i="8"/>
  <c r="V147" i="8"/>
  <c r="V175" i="8"/>
  <c r="V187" i="8"/>
  <c r="V146" i="8"/>
  <c r="V158" i="8"/>
  <c r="V209" i="8"/>
  <c r="V191" i="8"/>
  <c r="V133" i="8"/>
  <c r="V216" i="8"/>
  <c r="V168" i="8"/>
  <c r="V214" i="8"/>
  <c r="V126" i="8"/>
  <c r="V171" i="8"/>
  <c r="V181" i="8"/>
  <c r="V132" i="8"/>
  <c r="V167" i="8"/>
  <c r="V235" i="8"/>
  <c r="V236" i="8"/>
  <c r="V163" i="8"/>
  <c r="V231" i="8"/>
  <c r="V188" i="8"/>
  <c r="V184" i="8"/>
  <c r="V144" i="8"/>
  <c r="V156" i="8"/>
  <c r="V177" i="8"/>
  <c r="V174" i="8"/>
  <c r="V213" i="8"/>
  <c r="V154" i="8"/>
  <c r="V189" i="8"/>
  <c r="V186" i="8"/>
  <c r="V182" i="8"/>
  <c r="V157" i="8"/>
  <c r="V208" i="8"/>
  <c r="V234" i="8"/>
  <c r="V211" i="8"/>
  <c r="V170" i="8"/>
  <c r="V206" i="8"/>
  <c r="V159" i="8"/>
  <c r="V140" i="8"/>
  <c r="V130" i="8"/>
  <c r="V215" i="8"/>
  <c r="V145" i="8"/>
  <c r="V125" i="8"/>
  <c r="V139" i="8"/>
  <c r="V220" i="8"/>
  <c r="V217" i="8"/>
  <c r="V153" i="8"/>
  <c r="V232" i="8"/>
  <c r="V172" i="8"/>
  <c r="V131" i="8"/>
  <c r="V173" i="8"/>
  <c r="V161" i="8"/>
  <c r="V185" i="8"/>
  <c r="T146" i="11"/>
  <c r="T148" i="11"/>
  <c r="S240" i="8"/>
  <c r="U231" i="6"/>
  <c r="U228" i="6"/>
  <c r="U225" i="6"/>
  <c r="U244" i="6"/>
  <c r="D35" i="3" s="1"/>
  <c r="U183" i="6"/>
  <c r="U190" i="6" s="1"/>
  <c r="U122" i="6"/>
  <c r="U209" i="6"/>
  <c r="V209" i="6" s="1"/>
  <c r="U229" i="6"/>
  <c r="V229" i="6" s="1"/>
  <c r="U227" i="6"/>
  <c r="V227" i="6" s="1"/>
  <c r="U169" i="6"/>
  <c r="U219" i="6"/>
  <c r="U221" i="6" s="1"/>
  <c r="V221" i="6" s="1"/>
  <c r="U232" i="6"/>
  <c r="U141" i="6"/>
  <c r="U230" i="6"/>
  <c r="U212" i="6"/>
  <c r="V212" i="6" s="1"/>
  <c r="U120" i="6"/>
  <c r="U127" i="6"/>
  <c r="U134" i="6" s="1"/>
  <c r="V134" i="6" s="1"/>
  <c r="U155" i="6"/>
  <c r="U226" i="6"/>
  <c r="V226" i="6" s="1"/>
  <c r="U121" i="6"/>
  <c r="U192" i="6" s="1"/>
  <c r="U207" i="6"/>
  <c r="V207" i="6" s="1"/>
  <c r="V230" i="6"/>
  <c r="V216" i="6"/>
  <c r="V131" i="6"/>
  <c r="V175" i="6"/>
  <c r="V189" i="6"/>
  <c r="V177" i="6"/>
  <c r="V182" i="6"/>
  <c r="V173" i="6"/>
  <c r="V191" i="6"/>
  <c r="V133" i="6"/>
  <c r="V235" i="6"/>
  <c r="V214" i="6"/>
  <c r="V159" i="6"/>
  <c r="V139" i="6"/>
  <c r="V186" i="6"/>
  <c r="V228" i="6"/>
  <c r="V145" i="6"/>
  <c r="V163" i="6"/>
  <c r="V168" i="6"/>
  <c r="V181" i="6"/>
  <c r="V167" i="6"/>
  <c r="V140" i="6"/>
  <c r="V154" i="6"/>
  <c r="V185" i="6"/>
  <c r="V234" i="6"/>
  <c r="V126" i="6"/>
  <c r="V125" i="6"/>
  <c r="V217" i="6"/>
  <c r="V130" i="6"/>
  <c r="V161" i="6"/>
  <c r="V237" i="6"/>
  <c r="V208" i="6"/>
  <c r="V225" i="6"/>
  <c r="V184" i="6"/>
  <c r="V153" i="6"/>
  <c r="V220" i="6"/>
  <c r="V188" i="6"/>
  <c r="V206" i="6"/>
  <c r="V211" i="6"/>
  <c r="V187" i="6"/>
  <c r="V149" i="6"/>
  <c r="V236" i="6"/>
  <c r="V144" i="6"/>
  <c r="V135" i="6"/>
  <c r="V213" i="6"/>
  <c r="V147" i="6"/>
  <c r="V146" i="6"/>
  <c r="V232" i="6"/>
  <c r="V231" i="6"/>
  <c r="V132" i="6"/>
  <c r="S164" i="6"/>
  <c r="U134" i="9"/>
  <c r="T148" i="6"/>
  <c r="T238" i="6" s="1"/>
  <c r="T233" i="8"/>
  <c r="T178" i="8"/>
  <c r="T164" i="8"/>
  <c r="T192" i="8"/>
  <c r="P199" i="8"/>
  <c r="P202" i="8" s="1"/>
  <c r="P243" i="8" s="1"/>
  <c r="P203" i="11"/>
  <c r="T134" i="10"/>
  <c r="S195" i="11"/>
  <c r="S129" i="11"/>
  <c r="R136" i="7"/>
  <c r="R196" i="7"/>
  <c r="U118" i="10"/>
  <c r="D138" i="13"/>
  <c r="F138" i="13" s="1"/>
  <c r="T148" i="8"/>
  <c r="T149" i="8"/>
  <c r="T192" i="9"/>
  <c r="V192" i="9" s="1"/>
  <c r="R196" i="10"/>
  <c r="R136" i="10"/>
  <c r="Q198" i="10"/>
  <c r="Q197" i="10"/>
  <c r="Q199" i="10" s="1"/>
  <c r="Q202" i="10" s="1"/>
  <c r="Q243" i="10" s="1"/>
  <c r="E27" i="3"/>
  <c r="Q246" i="7"/>
  <c r="F7" i="7"/>
  <c r="F250" i="7"/>
  <c r="M246" i="7"/>
  <c r="P246" i="7"/>
  <c r="F251" i="7"/>
  <c r="U246" i="7"/>
  <c r="N246" i="7"/>
  <c r="D122" i="13"/>
  <c r="F122" i="13" s="1"/>
  <c r="T240" i="11"/>
  <c r="P202" i="6"/>
  <c r="P243" i="6" s="1"/>
  <c r="N246" i="10"/>
  <c r="T210" i="8"/>
  <c r="T222" i="8" s="1"/>
  <c r="T238" i="9"/>
  <c r="T178" i="9"/>
  <c r="T128" i="5"/>
  <c r="T142" i="5"/>
  <c r="T143" i="5" s="1"/>
  <c r="T150" i="5" s="1"/>
  <c r="T156" i="5"/>
  <c r="T157" i="5" s="1"/>
  <c r="T164" i="5" s="1"/>
  <c r="R196" i="11"/>
  <c r="R136" i="11"/>
  <c r="Q199" i="9"/>
  <c r="Q202" i="9" s="1"/>
  <c r="Q243" i="9" s="1"/>
  <c r="O203" i="10"/>
  <c r="T222" i="10"/>
  <c r="O244" i="7"/>
  <c r="E29" i="3" s="1"/>
  <c r="O245" i="7"/>
  <c r="S215" i="7"/>
  <c r="S195" i="8"/>
  <c r="S129" i="8"/>
  <c r="T176" i="6"/>
  <c r="T174" i="6"/>
  <c r="T190" i="6"/>
  <c r="T192" i="6" s="1"/>
  <c r="V192" i="6" s="1"/>
  <c r="T162" i="8"/>
  <c r="T135" i="8"/>
  <c r="T134" i="8"/>
  <c r="T233" i="7"/>
  <c r="T210" i="7"/>
  <c r="P203" i="7"/>
  <c r="R198" i="9"/>
  <c r="R197" i="9"/>
  <c r="T174" i="10"/>
  <c r="T176" i="10"/>
  <c r="S196" i="9"/>
  <c r="S136" i="9"/>
  <c r="S192" i="11"/>
  <c r="U219" i="5"/>
  <c r="U221" i="5" s="1"/>
  <c r="U209" i="5"/>
  <c r="U244" i="5"/>
  <c r="U230" i="5"/>
  <c r="V230" i="5" s="1"/>
  <c r="U227" i="5"/>
  <c r="U169" i="5"/>
  <c r="U176" i="5" s="1"/>
  <c r="V176" i="5" s="1"/>
  <c r="U122" i="5"/>
  <c r="U225" i="5"/>
  <c r="V225" i="5" s="1"/>
  <c r="U228" i="5"/>
  <c r="V228" i="5" s="1"/>
  <c r="U229" i="5"/>
  <c r="U141" i="5"/>
  <c r="U148" i="5" s="1"/>
  <c r="V148" i="5" s="1"/>
  <c r="U155" i="5"/>
  <c r="U226" i="5"/>
  <c r="V226" i="5" s="1"/>
  <c r="U231" i="5"/>
  <c r="U232" i="5"/>
  <c r="U127" i="5"/>
  <c r="U120" i="5"/>
  <c r="V120" i="5" s="1"/>
  <c r="U183" i="5"/>
  <c r="U190" i="5" s="1"/>
  <c r="U207" i="5"/>
  <c r="U210" i="5" s="1"/>
  <c r="U222" i="5" s="1"/>
  <c r="V222" i="5" s="1"/>
  <c r="U121" i="5"/>
  <c r="V177" i="5"/>
  <c r="V231" i="5"/>
  <c r="V132" i="5"/>
  <c r="V227" i="5"/>
  <c r="V160" i="5"/>
  <c r="V130" i="5"/>
  <c r="V158" i="5"/>
  <c r="V188" i="5"/>
  <c r="V215" i="5"/>
  <c r="V232" i="5"/>
  <c r="V170" i="5"/>
  <c r="V168" i="5"/>
  <c r="V175" i="5"/>
  <c r="V153" i="5"/>
  <c r="V145" i="5"/>
  <c r="V186" i="5"/>
  <c r="V154" i="5"/>
  <c r="V213" i="5"/>
  <c r="V167" i="5"/>
  <c r="V181" i="5"/>
  <c r="V163" i="5"/>
  <c r="V235" i="5"/>
  <c r="V139" i="5"/>
  <c r="V220" i="5"/>
  <c r="V214" i="5"/>
  <c r="V173" i="5"/>
  <c r="V172" i="5"/>
  <c r="V147" i="5"/>
  <c r="V229" i="5"/>
  <c r="V125" i="5"/>
  <c r="V131" i="5"/>
  <c r="V221" i="5"/>
  <c r="V133" i="5"/>
  <c r="V159" i="5"/>
  <c r="V149" i="5"/>
  <c r="V209" i="5"/>
  <c r="V184" i="5"/>
  <c r="V182" i="5"/>
  <c r="V191" i="5"/>
  <c r="V174" i="5"/>
  <c r="V140" i="5"/>
  <c r="V219" i="5"/>
  <c r="V171" i="5"/>
  <c r="V189" i="5"/>
  <c r="V146" i="5"/>
  <c r="V236" i="5"/>
  <c r="V161" i="5"/>
  <c r="V208" i="5"/>
  <c r="V217" i="5"/>
  <c r="V135" i="5"/>
  <c r="V185" i="5"/>
  <c r="V211" i="5"/>
  <c r="V237" i="5"/>
  <c r="V144" i="5"/>
  <c r="V206" i="5"/>
  <c r="V126" i="5"/>
  <c r="V212" i="5"/>
  <c r="V190" i="5"/>
  <c r="V187" i="5"/>
  <c r="V216" i="5"/>
  <c r="V244" i="5"/>
  <c r="U234" i="5"/>
  <c r="V234" i="5" s="1"/>
  <c r="U232" i="10"/>
  <c r="U229" i="10"/>
  <c r="U226" i="10"/>
  <c r="V226" i="10" s="1"/>
  <c r="U155" i="10"/>
  <c r="U212" i="10"/>
  <c r="U244" i="10"/>
  <c r="H35" i="3" s="1"/>
  <c r="U207" i="10"/>
  <c r="U210" i="10" s="1"/>
  <c r="V210" i="10" s="1"/>
  <c r="U225" i="10"/>
  <c r="U233" i="10" s="1"/>
  <c r="U183" i="10"/>
  <c r="U190" i="10" s="1"/>
  <c r="U169" i="10"/>
  <c r="U230" i="10"/>
  <c r="V230" i="10" s="1"/>
  <c r="U228" i="10"/>
  <c r="U219" i="10"/>
  <c r="U221" i="10" s="1"/>
  <c r="U141" i="10"/>
  <c r="U122" i="10"/>
  <c r="U209" i="10"/>
  <c r="U227" i="10"/>
  <c r="V227" i="10" s="1"/>
  <c r="U231" i="10"/>
  <c r="V231" i="10" s="1"/>
  <c r="U127" i="10"/>
  <c r="U121" i="10"/>
  <c r="U120" i="10"/>
  <c r="V120" i="10" s="1"/>
  <c r="V188" i="10"/>
  <c r="V215" i="10"/>
  <c r="V186" i="10"/>
  <c r="V173" i="10"/>
  <c r="V234" i="10"/>
  <c r="V158" i="10"/>
  <c r="V189" i="10"/>
  <c r="V235" i="10"/>
  <c r="V191" i="10"/>
  <c r="V175" i="10"/>
  <c r="V209" i="10"/>
  <c r="V159" i="10"/>
  <c r="V232" i="10"/>
  <c r="V212" i="10"/>
  <c r="V145" i="10"/>
  <c r="V167" i="10"/>
  <c r="V187" i="10"/>
  <c r="V133" i="10"/>
  <c r="V161" i="10"/>
  <c r="V135" i="10"/>
  <c r="V181" i="10"/>
  <c r="V237" i="10"/>
  <c r="V206" i="10"/>
  <c r="V211" i="10"/>
  <c r="V182" i="10"/>
  <c r="V229" i="10"/>
  <c r="V154" i="10"/>
  <c r="V213" i="10"/>
  <c r="V217" i="10"/>
  <c r="V228" i="10"/>
  <c r="V236" i="10"/>
  <c r="V163" i="10"/>
  <c r="V168" i="10"/>
  <c r="V221" i="10"/>
  <c r="V149" i="10"/>
  <c r="V153" i="10"/>
  <c r="V160" i="10"/>
  <c r="V131" i="10"/>
  <c r="V126" i="10"/>
  <c r="V140" i="10"/>
  <c r="V219" i="10"/>
  <c r="V208" i="10"/>
  <c r="V130" i="10"/>
  <c r="V177" i="10"/>
  <c r="V146" i="10"/>
  <c r="V147" i="10"/>
  <c r="V214" i="10"/>
  <c r="V144" i="10"/>
  <c r="V132" i="10"/>
  <c r="V139" i="10"/>
  <c r="V220" i="10"/>
  <c r="V125" i="10"/>
  <c r="Q136" i="8"/>
  <c r="Q196" i="8"/>
  <c r="T210" i="6"/>
  <c r="O245" i="5"/>
  <c r="O244" i="5"/>
  <c r="S215" i="6"/>
  <c r="S222" i="6" s="1"/>
  <c r="P245" i="10"/>
  <c r="P244" i="10"/>
  <c r="H30" i="3" s="1"/>
  <c r="T170" i="6"/>
  <c r="T171" i="6" s="1"/>
  <c r="T128" i="6"/>
  <c r="T142" i="6"/>
  <c r="T143" i="6" s="1"/>
  <c r="T150" i="6" s="1"/>
  <c r="T156" i="6"/>
  <c r="T157" i="6" s="1"/>
  <c r="T158" i="6"/>
  <c r="T172" i="6"/>
  <c r="F28" i="3"/>
  <c r="O246" i="8"/>
  <c r="N246" i="8"/>
  <c r="T192" i="5"/>
  <c r="T178" i="5"/>
  <c r="S222" i="7"/>
  <c r="U148" i="9"/>
  <c r="V148" i="9" s="1"/>
  <c r="T184" i="11"/>
  <c r="T185" i="11" s="1"/>
  <c r="T192" i="11" s="1"/>
  <c r="T170" i="11"/>
  <c r="T171" i="11" s="1"/>
  <c r="T178" i="11" s="1"/>
  <c r="T128" i="11"/>
  <c r="T156" i="11"/>
  <c r="T157" i="11" s="1"/>
  <c r="T164" i="11" s="1"/>
  <c r="T142" i="11"/>
  <c r="T143" i="11" s="1"/>
  <c r="T144" i="11"/>
  <c r="S150" i="8"/>
  <c r="T190" i="8"/>
  <c r="P244" i="7"/>
  <c r="E30" i="3" s="1"/>
  <c r="P245" i="7"/>
  <c r="T148" i="10"/>
  <c r="S216" i="10"/>
  <c r="S222" i="10" s="1"/>
  <c r="Q197" i="6"/>
  <c r="Q198" i="6"/>
  <c r="U232" i="7"/>
  <c r="V232" i="7" s="1"/>
  <c r="U229" i="7"/>
  <c r="V229" i="7" s="1"/>
  <c r="U226" i="7"/>
  <c r="V226" i="7" s="1"/>
  <c r="U141" i="7"/>
  <c r="U148" i="7" s="1"/>
  <c r="U219" i="7"/>
  <c r="U221" i="7" s="1"/>
  <c r="V221" i="7" s="1"/>
  <c r="U209" i="7"/>
  <c r="U120" i="7"/>
  <c r="U212" i="7"/>
  <c r="U231" i="7"/>
  <c r="V231" i="7" s="1"/>
  <c r="U227" i="7"/>
  <c r="V227" i="7" s="1"/>
  <c r="U127" i="7"/>
  <c r="U134" i="7" s="1"/>
  <c r="V134" i="7" s="1"/>
  <c r="U155" i="7"/>
  <c r="U207" i="7"/>
  <c r="U210" i="7" s="1"/>
  <c r="U169" i="7"/>
  <c r="U225" i="7"/>
  <c r="U233" i="7" s="1"/>
  <c r="U230" i="7"/>
  <c r="U121" i="7"/>
  <c r="U228" i="7"/>
  <c r="U244" i="7"/>
  <c r="E35" i="3" s="1"/>
  <c r="U183" i="7"/>
  <c r="U190" i="7" s="1"/>
  <c r="U122" i="7"/>
  <c r="U160" i="7"/>
  <c r="U162" i="7"/>
  <c r="U174" i="7"/>
  <c r="V174" i="7" s="1"/>
  <c r="U176" i="7"/>
  <c r="V176" i="7" s="1"/>
  <c r="V237" i="7"/>
  <c r="V228" i="7"/>
  <c r="V230" i="7"/>
  <c r="V160" i="7"/>
  <c r="V149" i="7"/>
  <c r="V146" i="7"/>
  <c r="V182" i="7"/>
  <c r="V216" i="7"/>
  <c r="V211" i="7"/>
  <c r="V208" i="7"/>
  <c r="V168" i="7"/>
  <c r="V159" i="7"/>
  <c r="V188" i="7"/>
  <c r="V235" i="7"/>
  <c r="V140" i="7"/>
  <c r="V125" i="7"/>
  <c r="V184" i="7"/>
  <c r="V234" i="7"/>
  <c r="V186" i="7"/>
  <c r="V126" i="7"/>
  <c r="V190" i="7"/>
  <c r="V175" i="7"/>
  <c r="V135" i="7"/>
  <c r="V191" i="7"/>
  <c r="V220" i="7"/>
  <c r="V144" i="7"/>
  <c r="V217" i="7"/>
  <c r="V133" i="7"/>
  <c r="V163" i="7"/>
  <c r="V185" i="7"/>
  <c r="V225" i="7"/>
  <c r="V120" i="7"/>
  <c r="V132" i="7"/>
  <c r="V145" i="7"/>
  <c r="V153" i="7"/>
  <c r="V131" i="7"/>
  <c r="V214" i="7"/>
  <c r="V213" i="7"/>
  <c r="V236" i="7"/>
  <c r="V167" i="7"/>
  <c r="V209" i="7"/>
  <c r="V130" i="7"/>
  <c r="V181" i="7"/>
  <c r="V147" i="7"/>
  <c r="V154" i="7"/>
  <c r="V173" i="7"/>
  <c r="V148" i="7"/>
  <c r="V212" i="7"/>
  <c r="V162" i="7"/>
  <c r="V187" i="7"/>
  <c r="V139" i="7"/>
  <c r="V161" i="7"/>
  <c r="V189" i="7"/>
  <c r="V177" i="7"/>
  <c r="V206" i="7"/>
  <c r="U222" i="9"/>
  <c r="V222" i="9" s="1"/>
  <c r="P245" i="9"/>
  <c r="P244" i="9"/>
  <c r="G30" i="3" s="1"/>
  <c r="U234" i="7"/>
  <c r="U233" i="9"/>
  <c r="T238" i="11"/>
  <c r="T239" i="11" s="1"/>
  <c r="P245" i="5"/>
  <c r="P244" i="5"/>
  <c r="C30" i="3" s="1"/>
  <c r="S238" i="11"/>
  <c r="S239" i="11" s="1"/>
  <c r="S240" i="11" s="1"/>
  <c r="T233" i="6"/>
  <c r="O244" i="9"/>
  <c r="O245" i="9"/>
  <c r="R136" i="6"/>
  <c r="R196" i="6"/>
  <c r="S240" i="10"/>
  <c r="S129" i="5"/>
  <c r="S195" i="5"/>
  <c r="T184" i="10"/>
  <c r="T185" i="10" s="1"/>
  <c r="T128" i="10"/>
  <c r="T142" i="10"/>
  <c r="T143" i="10" s="1"/>
  <c r="T150" i="10" s="1"/>
  <c r="T172" i="10"/>
  <c r="T216" i="10" s="1"/>
  <c r="T170" i="10"/>
  <c r="T171" i="10" s="1"/>
  <c r="T178" i="10" s="1"/>
  <c r="T156" i="10"/>
  <c r="T157" i="10" s="1"/>
  <c r="T164" i="10" s="1"/>
  <c r="S195" i="10"/>
  <c r="S129" i="10"/>
  <c r="S178" i="11"/>
  <c r="U142" i="9"/>
  <c r="U156" i="9"/>
  <c r="U157" i="9" s="1"/>
  <c r="U170" i="9"/>
  <c r="U171" i="9" s="1"/>
  <c r="U184" i="9"/>
  <c r="U185" i="9" s="1"/>
  <c r="U192" i="9" s="1"/>
  <c r="U172" i="9"/>
  <c r="U216" i="9" s="1"/>
  <c r="V216" i="9" s="1"/>
  <c r="U128" i="9"/>
  <c r="S195" i="7"/>
  <c r="S129" i="7"/>
  <c r="P203" i="5"/>
  <c r="T142" i="8"/>
  <c r="T143" i="8" s="1"/>
  <c r="T128" i="8"/>
  <c r="T156" i="7"/>
  <c r="T157" i="7" s="1"/>
  <c r="T128" i="7"/>
  <c r="T170" i="7"/>
  <c r="T171" i="7" s="1"/>
  <c r="T142" i="7"/>
  <c r="T143" i="7" s="1"/>
  <c r="T150" i="7" s="1"/>
  <c r="T172" i="7"/>
  <c r="T158" i="7"/>
  <c r="T215" i="7" s="1"/>
  <c r="U212" i="11"/>
  <c r="V212" i="11" s="1"/>
  <c r="U207" i="11"/>
  <c r="U231" i="11"/>
  <c r="W231" i="11" s="1"/>
  <c r="X231" i="11" s="1"/>
  <c r="U228" i="11"/>
  <c r="W228" i="11" s="1"/>
  <c r="X228" i="11" s="1"/>
  <c r="U225" i="11"/>
  <c r="U244" i="11"/>
  <c r="U183" i="11"/>
  <c r="U230" i="11"/>
  <c r="W230" i="11" s="1"/>
  <c r="X230" i="11" s="1"/>
  <c r="U227" i="11"/>
  <c r="W227" i="11" s="1"/>
  <c r="X227" i="11" s="1"/>
  <c r="U229" i="11"/>
  <c r="W229" i="11" s="1"/>
  <c r="X229" i="11" s="1"/>
  <c r="U209" i="11"/>
  <c r="V209" i="11" s="1"/>
  <c r="U155" i="11"/>
  <c r="U162" i="11" s="1"/>
  <c r="V162" i="11" s="1"/>
  <c r="U232" i="11"/>
  <c r="W232" i="11" s="1"/>
  <c r="X232" i="11" s="1"/>
  <c r="U141" i="11"/>
  <c r="U127" i="11"/>
  <c r="U122" i="11"/>
  <c r="U120" i="11"/>
  <c r="U219" i="11"/>
  <c r="U221" i="11" s="1"/>
  <c r="U169" i="11"/>
  <c r="U176" i="11" s="1"/>
  <c r="U121" i="11"/>
  <c r="U226" i="11"/>
  <c r="W226" i="11" s="1"/>
  <c r="V176" i="11"/>
  <c r="V236" i="11"/>
  <c r="V187" i="11"/>
  <c r="V131" i="11"/>
  <c r="V211" i="11"/>
  <c r="V207" i="11"/>
  <c r="V208" i="11"/>
  <c r="V220" i="11"/>
  <c r="V182" i="11"/>
  <c r="V132" i="11"/>
  <c r="V219" i="11"/>
  <c r="V213" i="11"/>
  <c r="V140" i="11"/>
  <c r="V225" i="11"/>
  <c r="V214" i="11"/>
  <c r="V235" i="11"/>
  <c r="V191" i="11"/>
  <c r="V154" i="11"/>
  <c r="V160" i="11"/>
  <c r="V147" i="11"/>
  <c r="V228" i="11"/>
  <c r="V174" i="11"/>
  <c r="V177" i="11"/>
  <c r="V168" i="11"/>
  <c r="V163" i="11"/>
  <c r="V139" i="11"/>
  <c r="V161" i="11"/>
  <c r="V189" i="11"/>
  <c r="V130" i="11"/>
  <c r="V159" i="11"/>
  <c r="V153" i="11"/>
  <c r="V133" i="11"/>
  <c r="V120" i="11"/>
  <c r="V145" i="11"/>
  <c r="V135" i="11"/>
  <c r="V181" i="11"/>
  <c r="V237" i="11"/>
  <c r="V188" i="11"/>
  <c r="V175" i="11"/>
  <c r="V125" i="11"/>
  <c r="V172" i="11"/>
  <c r="V158" i="11"/>
  <c r="V229" i="11"/>
  <c r="V227" i="11"/>
  <c r="V126" i="11"/>
  <c r="V206" i="11"/>
  <c r="V173" i="11"/>
  <c r="V167" i="11"/>
  <c r="V221" i="11"/>
  <c r="V217" i="11"/>
  <c r="V186" i="11"/>
  <c r="V149" i="11"/>
  <c r="V216" i="11"/>
  <c r="U118" i="6"/>
  <c r="T195" i="9"/>
  <c r="T129" i="9"/>
  <c r="D114" i="13" l="1"/>
  <c r="F114" i="13" s="1"/>
  <c r="V172" i="6"/>
  <c r="T239" i="7"/>
  <c r="V239" i="7" s="1"/>
  <c r="V238" i="7"/>
  <c r="V174" i="6"/>
  <c r="V222" i="8"/>
  <c r="V162" i="8"/>
  <c r="V192" i="7"/>
  <c r="V150" i="7"/>
  <c r="D34" i="13"/>
  <c r="F34" i="13" s="1"/>
  <c r="F10" i="5"/>
  <c r="C12" i="3" s="1"/>
  <c r="T239" i="6"/>
  <c r="V164" i="10"/>
  <c r="V190" i="8"/>
  <c r="V172" i="7"/>
  <c r="V146" i="11"/>
  <c r="V162" i="6"/>
  <c r="V164" i="11"/>
  <c r="V149" i="8"/>
  <c r="V178" i="8"/>
  <c r="D78" i="13"/>
  <c r="F78" i="13" s="1"/>
  <c r="F10" i="9"/>
  <c r="G12" i="3" s="1"/>
  <c r="D126" i="13"/>
  <c r="F126" i="13" s="1"/>
  <c r="V219" i="8"/>
  <c r="G29" i="3"/>
  <c r="O246" i="9"/>
  <c r="P246" i="9"/>
  <c r="T150" i="11"/>
  <c r="V190" i="6"/>
  <c r="U176" i="8"/>
  <c r="V176" i="8" s="1"/>
  <c r="T129" i="10"/>
  <c r="T195" i="10"/>
  <c r="V157" i="11"/>
  <c r="V231" i="11"/>
  <c r="U178" i="9"/>
  <c r="V178" i="9" s="1"/>
  <c r="V171" i="9"/>
  <c r="V207" i="7"/>
  <c r="T240" i="8"/>
  <c r="U142" i="6"/>
  <c r="U128" i="6"/>
  <c r="U156" i="6"/>
  <c r="U157" i="6" s="1"/>
  <c r="U170" i="6"/>
  <c r="U171" i="6" s="1"/>
  <c r="U158" i="6"/>
  <c r="U172" i="6"/>
  <c r="V232" i="11"/>
  <c r="U190" i="11"/>
  <c r="V190" i="11" s="1"/>
  <c r="T195" i="7"/>
  <c r="T129" i="7"/>
  <c r="U164" i="9"/>
  <c r="V164" i="9" s="1"/>
  <c r="V157" i="9"/>
  <c r="V158" i="7"/>
  <c r="T164" i="6"/>
  <c r="U162" i="10"/>
  <c r="V162" i="10" s="1"/>
  <c r="V207" i="5"/>
  <c r="C35" i="3"/>
  <c r="F250" i="5"/>
  <c r="F251" i="5"/>
  <c r="T246" i="7"/>
  <c r="R246" i="7"/>
  <c r="O245" i="10"/>
  <c r="O244" i="10"/>
  <c r="R198" i="5"/>
  <c r="R197" i="5"/>
  <c r="U195" i="9"/>
  <c r="U129" i="9"/>
  <c r="V128" i="9"/>
  <c r="D36" i="13"/>
  <c r="F36" i="13" s="1"/>
  <c r="F6" i="5"/>
  <c r="C8" i="3" s="1"/>
  <c r="Q245" i="9"/>
  <c r="Q244" i="9"/>
  <c r="G31" i="3" s="1"/>
  <c r="P203" i="8"/>
  <c r="T240" i="6"/>
  <c r="V219" i="7"/>
  <c r="Q203" i="9"/>
  <c r="U229" i="8"/>
  <c r="V229" i="8" s="1"/>
  <c r="U238" i="7"/>
  <c r="U239" i="7" s="1"/>
  <c r="U240" i="7" s="1"/>
  <c r="D59" i="13"/>
  <c r="F59" i="13" s="1"/>
  <c r="E9" i="3"/>
  <c r="T192" i="10"/>
  <c r="T215" i="6"/>
  <c r="T222" i="6" s="1"/>
  <c r="V157" i="10"/>
  <c r="U134" i="5"/>
  <c r="R203" i="9"/>
  <c r="R197" i="11"/>
  <c r="R198" i="11"/>
  <c r="I35" i="3"/>
  <c r="T164" i="7"/>
  <c r="U143" i="9"/>
  <c r="V142" i="9"/>
  <c r="S136" i="5"/>
  <c r="S196" i="5"/>
  <c r="V143" i="7"/>
  <c r="V210" i="7"/>
  <c r="U148" i="10"/>
  <c r="V148" i="10" s="1"/>
  <c r="T222" i="7"/>
  <c r="V172" i="9"/>
  <c r="O246" i="7"/>
  <c r="R198" i="7"/>
  <c r="R197" i="7"/>
  <c r="R199" i="7" s="1"/>
  <c r="R202" i="7" s="1"/>
  <c r="R243" i="7" s="1"/>
  <c r="R245" i="7" s="1"/>
  <c r="V156" i="6"/>
  <c r="U233" i="6"/>
  <c r="U225" i="8"/>
  <c r="U227" i="8"/>
  <c r="V227" i="8" s="1"/>
  <c r="V244" i="7"/>
  <c r="V195" i="9"/>
  <c r="D75" i="13" s="1"/>
  <c r="F75" i="13" s="1"/>
  <c r="S198" i="9"/>
  <c r="S197" i="9"/>
  <c r="S199" i="9" s="1"/>
  <c r="S202" i="9" s="1"/>
  <c r="S243" i="9" s="1"/>
  <c r="S245" i="9" s="1"/>
  <c r="P245" i="8"/>
  <c r="P244" i="8"/>
  <c r="U134" i="10"/>
  <c r="P244" i="6"/>
  <c r="P245" i="6"/>
  <c r="C29" i="3"/>
  <c r="Q246" i="5"/>
  <c r="T246" i="5"/>
  <c r="P246" i="5"/>
  <c r="O246" i="5"/>
  <c r="R246" i="5"/>
  <c r="U246" i="5"/>
  <c r="S246" i="5"/>
  <c r="F249" i="5"/>
  <c r="F7" i="5"/>
  <c r="D110" i="13"/>
  <c r="F110" i="13" s="1"/>
  <c r="U162" i="6"/>
  <c r="U160" i="6"/>
  <c r="V160" i="6" s="1"/>
  <c r="R197" i="8"/>
  <c r="R198" i="8"/>
  <c r="Q199" i="7"/>
  <c r="T129" i="11"/>
  <c r="T195" i="11"/>
  <c r="V170" i="10"/>
  <c r="S136" i="8"/>
  <c r="S196" i="8"/>
  <c r="Q199" i="6"/>
  <c r="Q203" i="6" s="1"/>
  <c r="U162" i="8"/>
  <c r="U164" i="8" s="1"/>
  <c r="V164" i="8" s="1"/>
  <c r="U233" i="11"/>
  <c r="W225" i="11"/>
  <c r="T195" i="8"/>
  <c r="T129" i="8"/>
  <c r="V170" i="9"/>
  <c r="U156" i="7"/>
  <c r="U157" i="7" s="1"/>
  <c r="U164" i="7" s="1"/>
  <c r="U128" i="7"/>
  <c r="U170" i="7"/>
  <c r="U142" i="7"/>
  <c r="U143" i="7" s="1"/>
  <c r="U150" i="7" s="1"/>
  <c r="U172" i="7"/>
  <c r="U158" i="7"/>
  <c r="V233" i="9"/>
  <c r="T129" i="6"/>
  <c r="T195" i="6"/>
  <c r="Q197" i="8"/>
  <c r="Q198" i="8"/>
  <c r="V210" i="5"/>
  <c r="T195" i="5"/>
  <c r="T129" i="5"/>
  <c r="Q244" i="10"/>
  <c r="H31" i="3" s="1"/>
  <c r="Q245" i="10"/>
  <c r="V120" i="6"/>
  <c r="U148" i="6"/>
  <c r="V148" i="6" s="1"/>
  <c r="U228" i="8"/>
  <c r="V228" i="8" s="1"/>
  <c r="V185" i="9"/>
  <c r="S136" i="7"/>
  <c r="S196" i="7"/>
  <c r="U170" i="10"/>
  <c r="U171" i="10" s="1"/>
  <c r="U142" i="10"/>
  <c r="U184" i="10"/>
  <c r="U128" i="10"/>
  <c r="U156" i="10"/>
  <c r="U157" i="10" s="1"/>
  <c r="U164" i="10" s="1"/>
  <c r="U172" i="10"/>
  <c r="U216" i="10" s="1"/>
  <c r="V216" i="10" s="1"/>
  <c r="U142" i="8"/>
  <c r="U143" i="8" s="1"/>
  <c r="U128" i="8"/>
  <c r="T215" i="11"/>
  <c r="V215" i="11" s="1"/>
  <c r="U233" i="5"/>
  <c r="R197" i="10"/>
  <c r="R198" i="10"/>
  <c r="U226" i="8"/>
  <c r="V226" i="8" s="1"/>
  <c r="S136" i="6"/>
  <c r="S196" i="6"/>
  <c r="Q203" i="7"/>
  <c r="N234" i="11"/>
  <c r="U128" i="5"/>
  <c r="U142" i="5"/>
  <c r="U156" i="5"/>
  <c r="R199" i="9"/>
  <c r="R202" i="9" s="1"/>
  <c r="R243" i="9" s="1"/>
  <c r="V226" i="11"/>
  <c r="T178" i="7"/>
  <c r="V184" i="9"/>
  <c r="F8" i="5"/>
  <c r="C10" i="3" s="1"/>
  <c r="D120" i="13"/>
  <c r="F120" i="13" s="1"/>
  <c r="U148" i="8"/>
  <c r="V148" i="8" s="1"/>
  <c r="U149" i="8"/>
  <c r="V156" i="11"/>
  <c r="V230" i="11"/>
  <c r="U170" i="11"/>
  <c r="U184" i="11"/>
  <c r="U156" i="11"/>
  <c r="U157" i="11" s="1"/>
  <c r="U164" i="11" s="1"/>
  <c r="U142" i="11"/>
  <c r="U143" i="11" s="1"/>
  <c r="U128" i="11"/>
  <c r="U144" i="11"/>
  <c r="U215" i="11" s="1"/>
  <c r="U134" i="11"/>
  <c r="T150" i="8"/>
  <c r="R197" i="6"/>
  <c r="R198" i="6"/>
  <c r="V142" i="7"/>
  <c r="U192" i="7"/>
  <c r="T178" i="6"/>
  <c r="V207" i="10"/>
  <c r="U162" i="5"/>
  <c r="V162" i="5" s="1"/>
  <c r="T238" i="8"/>
  <c r="S246" i="7"/>
  <c r="Q203" i="10"/>
  <c r="S136" i="11"/>
  <c r="S196" i="11"/>
  <c r="U238" i="9"/>
  <c r="U239" i="9" s="1"/>
  <c r="U240" i="9" s="1"/>
  <c r="U178" i="8"/>
  <c r="Q203" i="11"/>
  <c r="Q203" i="5"/>
  <c r="T240" i="5"/>
  <c r="V225" i="10"/>
  <c r="D144" i="13" s="1"/>
  <c r="F144" i="13" s="1"/>
  <c r="U192" i="5"/>
  <c r="V192" i="5" s="1"/>
  <c r="U178" i="5"/>
  <c r="V178" i="5" s="1"/>
  <c r="V142" i="11"/>
  <c r="U146" i="11"/>
  <c r="U148" i="11"/>
  <c r="V148" i="11" s="1"/>
  <c r="S196" i="10"/>
  <c r="S136" i="10"/>
  <c r="V233" i="10"/>
  <c r="V172" i="10"/>
  <c r="T237" i="8"/>
  <c r="T239" i="8" s="1"/>
  <c r="T239" i="9"/>
  <c r="V238" i="9"/>
  <c r="U135" i="8"/>
  <c r="U237" i="8" s="1"/>
  <c r="U134" i="8"/>
  <c r="Q202" i="5"/>
  <c r="Q243" i="5" s="1"/>
  <c r="Q245" i="5" s="1"/>
  <c r="T196" i="9"/>
  <c r="T136" i="9"/>
  <c r="V129" i="9"/>
  <c r="U210" i="11"/>
  <c r="U222" i="11" s="1"/>
  <c r="V233" i="7"/>
  <c r="V156" i="10"/>
  <c r="V171" i="10"/>
  <c r="U174" i="10"/>
  <c r="V174" i="10" s="1"/>
  <c r="U176" i="10"/>
  <c r="V176" i="10" s="1"/>
  <c r="F249" i="7"/>
  <c r="T238" i="10"/>
  <c r="V219" i="6"/>
  <c r="U210" i="6"/>
  <c r="U176" i="6"/>
  <c r="V176" i="6" s="1"/>
  <c r="U174" i="6"/>
  <c r="U210" i="8"/>
  <c r="U222" i="8" s="1"/>
  <c r="U190" i="8"/>
  <c r="U192" i="8" s="1"/>
  <c r="V192" i="8" s="1"/>
  <c r="V233" i="5" l="1"/>
  <c r="U143" i="5"/>
  <c r="V142" i="5"/>
  <c r="R203" i="7"/>
  <c r="U129" i="8"/>
  <c r="U195" i="8"/>
  <c r="V195" i="8" s="1"/>
  <c r="D64" i="13" s="1"/>
  <c r="F64" i="13" s="1"/>
  <c r="T136" i="7"/>
  <c r="T196" i="7"/>
  <c r="D105" i="13"/>
  <c r="F105" i="13" s="1"/>
  <c r="N240" i="11"/>
  <c r="V234" i="11"/>
  <c r="D150" i="13" s="1"/>
  <c r="F150" i="13" s="1"/>
  <c r="S203" i="9"/>
  <c r="U196" i="9"/>
  <c r="U136" i="9"/>
  <c r="V136" i="9" s="1"/>
  <c r="F250" i="9"/>
  <c r="U195" i="11"/>
  <c r="V195" i="11" s="1"/>
  <c r="D97" i="13" s="1"/>
  <c r="F97" i="13" s="1"/>
  <c r="U129" i="11"/>
  <c r="U195" i="10"/>
  <c r="U129" i="10"/>
  <c r="V128" i="10"/>
  <c r="U215" i="7"/>
  <c r="R199" i="8"/>
  <c r="R202" i="8" s="1"/>
  <c r="R243" i="8" s="1"/>
  <c r="S246" i="9"/>
  <c r="V144" i="11"/>
  <c r="U129" i="5"/>
  <c r="U195" i="5"/>
  <c r="V128" i="5"/>
  <c r="V157" i="7"/>
  <c r="U238" i="6"/>
  <c r="U238" i="11"/>
  <c r="V134" i="11"/>
  <c r="T239" i="10"/>
  <c r="V238" i="10"/>
  <c r="Q202" i="7"/>
  <c r="D67" i="13"/>
  <c r="F67" i="13" s="1"/>
  <c r="F10" i="8"/>
  <c r="F12" i="3" s="1"/>
  <c r="D58" i="13"/>
  <c r="F58" i="13" s="1"/>
  <c r="F6" i="7"/>
  <c r="E8" i="3" s="1"/>
  <c r="F8" i="7"/>
  <c r="E10" i="3" s="1"/>
  <c r="T197" i="9"/>
  <c r="T198" i="9"/>
  <c r="U150" i="11"/>
  <c r="V150" i="11" s="1"/>
  <c r="V143" i="11"/>
  <c r="U185" i="10"/>
  <c r="V184" i="10"/>
  <c r="T136" i="5"/>
  <c r="T196" i="5"/>
  <c r="V233" i="11"/>
  <c r="U233" i="8"/>
  <c r="V225" i="8"/>
  <c r="D132" i="13" s="1"/>
  <c r="F132" i="13" s="1"/>
  <c r="R199" i="5"/>
  <c r="R202" i="5" s="1"/>
  <c r="R243" i="5" s="1"/>
  <c r="R245" i="5" s="1"/>
  <c r="U215" i="6"/>
  <c r="U222" i="6" s="1"/>
  <c r="V222" i="6" s="1"/>
  <c r="V158" i="6"/>
  <c r="V195" i="10"/>
  <c r="D86" i="13" s="1"/>
  <c r="F86" i="13" s="1"/>
  <c r="Q246" i="9"/>
  <c r="F30" i="3"/>
  <c r="P246" i="8"/>
  <c r="H29" i="3"/>
  <c r="P246" i="10"/>
  <c r="O246" i="10"/>
  <c r="Q246" i="10"/>
  <c r="U143" i="6"/>
  <c r="V142" i="6"/>
  <c r="V135" i="8"/>
  <c r="S198" i="11"/>
  <c r="S197" i="11"/>
  <c r="S199" i="11" s="1"/>
  <c r="S202" i="11" s="1"/>
  <c r="S243" i="11" s="1"/>
  <c r="S245" i="11" s="1"/>
  <c r="R203" i="8"/>
  <c r="S198" i="10"/>
  <c r="S197" i="10"/>
  <c r="U222" i="10"/>
  <c r="V222" i="10" s="1"/>
  <c r="U143" i="10"/>
  <c r="V142" i="10"/>
  <c r="V195" i="5"/>
  <c r="D31" i="13" s="1"/>
  <c r="F31" i="13" s="1"/>
  <c r="V128" i="11"/>
  <c r="V210" i="8"/>
  <c r="R199" i="11"/>
  <c r="R202" i="11" s="1"/>
  <c r="R203" i="5"/>
  <c r="U178" i="6"/>
  <c r="V171" i="6"/>
  <c r="T196" i="10"/>
  <c r="T136" i="10"/>
  <c r="V129" i="10"/>
  <c r="Q203" i="8"/>
  <c r="U150" i="9"/>
  <c r="V150" i="9" s="1"/>
  <c r="V143" i="9"/>
  <c r="V210" i="6"/>
  <c r="Q199" i="8"/>
  <c r="U150" i="8"/>
  <c r="V150" i="8" s="1"/>
  <c r="V143" i="8"/>
  <c r="T136" i="6"/>
  <c r="T196" i="6"/>
  <c r="U185" i="11"/>
  <c r="V184" i="11"/>
  <c r="V128" i="8"/>
  <c r="U157" i="5"/>
  <c r="V156" i="5"/>
  <c r="S197" i="7"/>
  <c r="S198" i="7"/>
  <c r="S197" i="8"/>
  <c r="S198" i="8"/>
  <c r="R203" i="6"/>
  <c r="V239" i="9"/>
  <c r="T240" i="9"/>
  <c r="V240" i="9" s="1"/>
  <c r="R199" i="6"/>
  <c r="R202" i="6" s="1"/>
  <c r="R243" i="6" s="1"/>
  <c r="R245" i="6" s="1"/>
  <c r="V164" i="7"/>
  <c r="T196" i="11"/>
  <c r="T136" i="11"/>
  <c r="V129" i="11"/>
  <c r="F251" i="9"/>
  <c r="T222" i="11"/>
  <c r="V222" i="11" s="1"/>
  <c r="V210" i="11"/>
  <c r="T136" i="8"/>
  <c r="T196" i="8"/>
  <c r="S197" i="6"/>
  <c r="S198" i="6"/>
  <c r="V237" i="8"/>
  <c r="V178" i="6"/>
  <c r="R203" i="10"/>
  <c r="U178" i="10"/>
  <c r="V178" i="10" s="1"/>
  <c r="U171" i="7"/>
  <c r="V170" i="7"/>
  <c r="D30" i="3"/>
  <c r="D116" i="13"/>
  <c r="F116" i="13" s="1"/>
  <c r="V244" i="6"/>
  <c r="S246" i="6"/>
  <c r="P246" i="6"/>
  <c r="Q246" i="6"/>
  <c r="R246" i="6"/>
  <c r="F249" i="6"/>
  <c r="F250" i="6"/>
  <c r="T246" i="6"/>
  <c r="U246" i="6"/>
  <c r="F251" i="6"/>
  <c r="F7" i="6"/>
  <c r="V233" i="6"/>
  <c r="U164" i="6"/>
  <c r="V164" i="6" s="1"/>
  <c r="T246" i="9"/>
  <c r="V142" i="8"/>
  <c r="U238" i="8"/>
  <c r="V238" i="8" s="1"/>
  <c r="V134" i="8"/>
  <c r="V157" i="6"/>
  <c r="U171" i="11"/>
  <c r="V170" i="11"/>
  <c r="R245" i="9"/>
  <c r="R244" i="9"/>
  <c r="R199" i="10"/>
  <c r="R202" i="10" s="1"/>
  <c r="T240" i="7"/>
  <c r="V240" i="7" s="1"/>
  <c r="U129" i="7"/>
  <c r="V129" i="7" s="1"/>
  <c r="U195" i="7"/>
  <c r="V195" i="7" s="1"/>
  <c r="D53" i="13" s="1"/>
  <c r="F53" i="13" s="1"/>
  <c r="V128" i="7"/>
  <c r="Q202" i="6"/>
  <c r="Q243" i="6" s="1"/>
  <c r="Q245" i="6" s="1"/>
  <c r="D37" i="13"/>
  <c r="F37" i="13" s="1"/>
  <c r="C9" i="3"/>
  <c r="U238" i="10"/>
  <c r="U239" i="10" s="1"/>
  <c r="U240" i="10" s="1"/>
  <c r="V134" i="10"/>
  <c r="V170" i="6"/>
  <c r="S198" i="5"/>
  <c r="S197" i="5"/>
  <c r="U238" i="5"/>
  <c r="V134" i="5"/>
  <c r="V156" i="7"/>
  <c r="U195" i="6"/>
  <c r="V195" i="6" s="1"/>
  <c r="D42" i="13" s="1"/>
  <c r="F42" i="13" s="1"/>
  <c r="U129" i="6"/>
  <c r="V128" i="6"/>
  <c r="U246" i="9"/>
  <c r="D45" i="13" l="1"/>
  <c r="F45" i="13" s="1"/>
  <c r="F10" i="6"/>
  <c r="D12" i="3" s="1"/>
  <c r="U239" i="8"/>
  <c r="V239" i="8" s="1"/>
  <c r="S203" i="8"/>
  <c r="U240" i="8"/>
  <c r="V240" i="8" s="1"/>
  <c r="V233" i="8"/>
  <c r="D106" i="13" s="1"/>
  <c r="F106" i="13" s="1"/>
  <c r="U239" i="6"/>
  <c r="V238" i="6"/>
  <c r="R244" i="8"/>
  <c r="R245" i="8"/>
  <c r="U239" i="5"/>
  <c r="V238" i="5"/>
  <c r="D100" i="13"/>
  <c r="F100" i="13" s="1"/>
  <c r="F10" i="11"/>
  <c r="I12" i="3" s="1"/>
  <c r="R203" i="11"/>
  <c r="U198" i="9"/>
  <c r="V198" i="9" s="1"/>
  <c r="U197" i="9"/>
  <c r="V196" i="9"/>
  <c r="G32" i="3"/>
  <c r="F7" i="9"/>
  <c r="S199" i="8"/>
  <c r="S202" i="8" s="1"/>
  <c r="S243" i="8" s="1"/>
  <c r="R246" i="9"/>
  <c r="D48" i="13"/>
  <c r="F48" i="13" s="1"/>
  <c r="D9" i="3"/>
  <c r="E17" i="3" s="1"/>
  <c r="F249" i="9"/>
  <c r="V244" i="9"/>
  <c r="T197" i="10"/>
  <c r="T198" i="10"/>
  <c r="D89" i="13"/>
  <c r="F89" i="13" s="1"/>
  <c r="F10" i="10"/>
  <c r="H12" i="3" s="1"/>
  <c r="U150" i="6"/>
  <c r="V150" i="6" s="1"/>
  <c r="V143" i="6"/>
  <c r="T198" i="5"/>
  <c r="T197" i="5"/>
  <c r="T199" i="5" s="1"/>
  <c r="T202" i="5" s="1"/>
  <c r="T243" i="5" s="1"/>
  <c r="T245" i="5" s="1"/>
  <c r="V196" i="5"/>
  <c r="U136" i="10"/>
  <c r="V136" i="10" s="1"/>
  <c r="U196" i="10"/>
  <c r="V196" i="10" s="1"/>
  <c r="U150" i="5"/>
  <c r="V150" i="5" s="1"/>
  <c r="V143" i="5"/>
  <c r="D57" i="13"/>
  <c r="F57" i="13" s="1"/>
  <c r="F11" i="7"/>
  <c r="E13" i="3" s="1"/>
  <c r="R243" i="11"/>
  <c r="R245" i="11" s="1"/>
  <c r="R243" i="10"/>
  <c r="S203" i="11"/>
  <c r="U239" i="11"/>
  <c r="V238" i="11"/>
  <c r="U136" i="8"/>
  <c r="V136" i="8" s="1"/>
  <c r="U196" i="8"/>
  <c r="T197" i="11"/>
  <c r="T198" i="11"/>
  <c r="D134" i="13"/>
  <c r="F134" i="13" s="1"/>
  <c r="S199" i="6"/>
  <c r="S202" i="6" s="1"/>
  <c r="S243" i="6" s="1"/>
  <c r="S245" i="6" s="1"/>
  <c r="U150" i="10"/>
  <c r="V150" i="10" s="1"/>
  <c r="V143" i="10"/>
  <c r="U196" i="6"/>
  <c r="U136" i="6"/>
  <c r="V136" i="6" s="1"/>
  <c r="V129" i="6"/>
  <c r="U178" i="11"/>
  <c r="V178" i="11" s="1"/>
  <c r="V171" i="11"/>
  <c r="U178" i="7"/>
  <c r="V178" i="7" s="1"/>
  <c r="V171" i="7"/>
  <c r="V129" i="8"/>
  <c r="S199" i="7"/>
  <c r="S199" i="10"/>
  <c r="S202" i="10" s="1"/>
  <c r="S243" i="10" s="1"/>
  <c r="S245" i="10" s="1"/>
  <c r="U196" i="7"/>
  <c r="V196" i="7" s="1"/>
  <c r="U136" i="7"/>
  <c r="V136" i="7" s="1"/>
  <c r="T240" i="10"/>
  <c r="V240" i="10" s="1"/>
  <c r="V239" i="10"/>
  <c r="T197" i="6"/>
  <c r="T198" i="6"/>
  <c r="V215" i="6"/>
  <c r="V215" i="7"/>
  <c r="U222" i="7"/>
  <c r="V222" i="7" s="1"/>
  <c r="T198" i="8"/>
  <c r="T197" i="8"/>
  <c r="T199" i="8" s="1"/>
  <c r="T202" i="8" s="1"/>
  <c r="T243" i="8" s="1"/>
  <c r="Q202" i="8"/>
  <c r="S203" i="10"/>
  <c r="U136" i="5"/>
  <c r="V136" i="5" s="1"/>
  <c r="U196" i="5"/>
  <c r="V129" i="5"/>
  <c r="T198" i="7"/>
  <c r="T197" i="7"/>
  <c r="T199" i="7" s="1"/>
  <c r="T202" i="7" s="1"/>
  <c r="T243" i="7" s="1"/>
  <c r="T245" i="7" s="1"/>
  <c r="S199" i="5"/>
  <c r="S202" i="5" s="1"/>
  <c r="S243" i="5" s="1"/>
  <c r="S245" i="5" s="1"/>
  <c r="U192" i="11"/>
  <c r="V192" i="11" s="1"/>
  <c r="V185" i="11"/>
  <c r="S203" i="5"/>
  <c r="T199" i="9"/>
  <c r="D47" i="13"/>
  <c r="F47" i="13" s="1"/>
  <c r="F6" i="6"/>
  <c r="D8" i="3" s="1"/>
  <c r="F8" i="6"/>
  <c r="D10" i="3" s="1"/>
  <c r="D79" i="13"/>
  <c r="F79" i="13" s="1"/>
  <c r="F11" i="9"/>
  <c r="G13" i="3" s="1"/>
  <c r="U164" i="5"/>
  <c r="V164" i="5" s="1"/>
  <c r="V157" i="5"/>
  <c r="U192" i="10"/>
  <c r="V192" i="10" s="1"/>
  <c r="V185" i="10"/>
  <c r="Q243" i="7"/>
  <c r="U136" i="11"/>
  <c r="V136" i="11" s="1"/>
  <c r="U196" i="11"/>
  <c r="N243" i="11"/>
  <c r="D80" i="13" l="1"/>
  <c r="F80" i="13" s="1"/>
  <c r="F6" i="9"/>
  <c r="G8" i="3" s="1"/>
  <c r="F8" i="9"/>
  <c r="G10" i="3" s="1"/>
  <c r="R244" i="10"/>
  <c r="R245" i="10"/>
  <c r="S203" i="6"/>
  <c r="F32" i="3"/>
  <c r="Q245" i="7"/>
  <c r="T203" i="8"/>
  <c r="V198" i="6"/>
  <c r="D81" i="13"/>
  <c r="F81" i="13" s="1"/>
  <c r="G9" i="3"/>
  <c r="U198" i="8"/>
  <c r="V198" i="8" s="1"/>
  <c r="U197" i="8"/>
  <c r="U199" i="8" s="1"/>
  <c r="V196" i="8"/>
  <c r="V197" i="5"/>
  <c r="U197" i="6"/>
  <c r="U198" i="6"/>
  <c r="T203" i="5"/>
  <c r="V239" i="5"/>
  <c r="U240" i="5"/>
  <c r="V240" i="5" s="1"/>
  <c r="V196" i="6"/>
  <c r="N244" i="11"/>
  <c r="N245" i="11"/>
  <c r="U197" i="5"/>
  <c r="U198" i="5"/>
  <c r="T199" i="6"/>
  <c r="T203" i="11"/>
  <c r="U240" i="6"/>
  <c r="V240" i="6" s="1"/>
  <c r="V239" i="6"/>
  <c r="D90" i="13"/>
  <c r="F90" i="13" s="1"/>
  <c r="F11" i="10"/>
  <c r="H13" i="3" s="1"/>
  <c r="Q243" i="8"/>
  <c r="T244" i="8"/>
  <c r="T245" i="8"/>
  <c r="U197" i="7"/>
  <c r="U198" i="7"/>
  <c r="V198" i="7" s="1"/>
  <c r="V239" i="11"/>
  <c r="U240" i="11"/>
  <c r="V240" i="11" s="1"/>
  <c r="D56" i="13"/>
  <c r="F56" i="13" s="1"/>
  <c r="F10" i="7"/>
  <c r="E12" i="3" s="1"/>
  <c r="S202" i="7"/>
  <c r="S245" i="8"/>
  <c r="S244" i="8"/>
  <c r="T203" i="7"/>
  <c r="U197" i="11"/>
  <c r="U198" i="11"/>
  <c r="V196" i="11"/>
  <c r="T199" i="11"/>
  <c r="T202" i="11" s="1"/>
  <c r="V198" i="10"/>
  <c r="T199" i="10"/>
  <c r="T202" i="10" s="1"/>
  <c r="T243" i="10" s="1"/>
  <c r="T245" i="10" s="1"/>
  <c r="V197" i="10"/>
  <c r="U199" i="9"/>
  <c r="U203" i="9" s="1"/>
  <c r="V197" i="9"/>
  <c r="D68" i="13"/>
  <c r="F68" i="13" s="1"/>
  <c r="F11" i="8"/>
  <c r="F13" i="3" s="1"/>
  <c r="T202" i="9"/>
  <c r="V199" i="9"/>
  <c r="T203" i="9"/>
  <c r="U198" i="10"/>
  <c r="U197" i="10"/>
  <c r="U199" i="10" s="1"/>
  <c r="S203" i="7"/>
  <c r="D136" i="13" l="1"/>
  <c r="F136" i="13" s="1"/>
  <c r="V203" i="9"/>
  <c r="T243" i="9"/>
  <c r="T202" i="6"/>
  <c r="T243" i="6" s="1"/>
  <c r="T245" i="6" s="1"/>
  <c r="U199" i="11"/>
  <c r="V198" i="5"/>
  <c r="F34" i="3"/>
  <c r="T246" i="8"/>
  <c r="Q245" i="8"/>
  <c r="Q244" i="8"/>
  <c r="D35" i="13"/>
  <c r="F35" i="13" s="1"/>
  <c r="F11" i="5"/>
  <c r="C13" i="3" s="1"/>
  <c r="T203" i="6"/>
  <c r="H32" i="3"/>
  <c r="F249" i="10"/>
  <c r="T246" i="10"/>
  <c r="F250" i="10"/>
  <c r="F7" i="10"/>
  <c r="U246" i="10"/>
  <c r="D140" i="13"/>
  <c r="F140" i="13" s="1"/>
  <c r="S246" i="10"/>
  <c r="R246" i="10"/>
  <c r="F251" i="10"/>
  <c r="V244" i="10"/>
  <c r="U202" i="8"/>
  <c r="D129" i="13"/>
  <c r="F129" i="13" s="1"/>
  <c r="V197" i="8"/>
  <c r="U199" i="7"/>
  <c r="U203" i="7" s="1"/>
  <c r="V197" i="7"/>
  <c r="U199" i="5"/>
  <c r="U202" i="10"/>
  <c r="V199" i="10"/>
  <c r="D141" i="13"/>
  <c r="F141" i="13" s="1"/>
  <c r="S243" i="7"/>
  <c r="U203" i="10"/>
  <c r="T203" i="10"/>
  <c r="U203" i="11"/>
  <c r="U203" i="8"/>
  <c r="U202" i="9"/>
  <c r="U243" i="9" s="1"/>
  <c r="U245" i="9" s="1"/>
  <c r="D135" i="13"/>
  <c r="F135" i="13" s="1"/>
  <c r="F33" i="3"/>
  <c r="S246" i="8"/>
  <c r="I28" i="3"/>
  <c r="Q246" i="11"/>
  <c r="O246" i="11"/>
  <c r="T246" i="11"/>
  <c r="P246" i="11"/>
  <c r="F7" i="11"/>
  <c r="N246" i="11"/>
  <c r="D146" i="13"/>
  <c r="F146" i="13" s="1"/>
  <c r="R246" i="11"/>
  <c r="S246" i="11"/>
  <c r="F250" i="11"/>
  <c r="U246" i="11"/>
  <c r="F249" i="11"/>
  <c r="V244" i="11"/>
  <c r="F251" i="11"/>
  <c r="V197" i="11"/>
  <c r="D46" i="13"/>
  <c r="F46" i="13" s="1"/>
  <c r="F11" i="6"/>
  <c r="D13" i="3" s="1"/>
  <c r="V199" i="8"/>
  <c r="T243" i="11"/>
  <c r="T245" i="11" s="1"/>
  <c r="D101" i="13"/>
  <c r="F101" i="13" s="1"/>
  <c r="F11" i="11"/>
  <c r="I13" i="3" s="1"/>
  <c r="V198" i="11"/>
  <c r="U199" i="6"/>
  <c r="V199" i="6" s="1"/>
  <c r="V197" i="6"/>
  <c r="D124" i="13" l="1"/>
  <c r="F124" i="13" s="1"/>
  <c r="V203" i="7"/>
  <c r="U243" i="10"/>
  <c r="V202" i="10"/>
  <c r="D148" i="13"/>
  <c r="F148" i="13" s="1"/>
  <c r="V203" i="11"/>
  <c r="U203" i="6"/>
  <c r="D103" i="13"/>
  <c r="F103" i="13" s="1"/>
  <c r="I9" i="3"/>
  <c r="V202" i="9"/>
  <c r="U202" i="5"/>
  <c r="V199" i="5"/>
  <c r="D111" i="13"/>
  <c r="F111" i="13" s="1"/>
  <c r="U202" i="11"/>
  <c r="D147" i="13"/>
  <c r="F147" i="13" s="1"/>
  <c r="V199" i="11"/>
  <c r="D142" i="13"/>
  <c r="F142" i="13" s="1"/>
  <c r="V203" i="10"/>
  <c r="U243" i="8"/>
  <c r="V202" i="8"/>
  <c r="D102" i="13"/>
  <c r="F102" i="13" s="1"/>
  <c r="F6" i="11"/>
  <c r="I8" i="3" s="1"/>
  <c r="F8" i="11"/>
  <c r="I10" i="3" s="1"/>
  <c r="S245" i="7"/>
  <c r="D91" i="13"/>
  <c r="F91" i="13" s="1"/>
  <c r="F6" i="10"/>
  <c r="H8" i="3" s="1"/>
  <c r="F8" i="10"/>
  <c r="H10" i="3" s="1"/>
  <c r="T245" i="9"/>
  <c r="F13" i="9"/>
  <c r="G15" i="3" s="1"/>
  <c r="V243" i="9"/>
  <c r="D130" i="13"/>
  <c r="F130" i="13" s="1"/>
  <c r="V203" i="8"/>
  <c r="D77" i="13"/>
  <c r="F77" i="13" s="1"/>
  <c r="F12" i="9"/>
  <c r="G14" i="3" s="1"/>
  <c r="D92" i="13"/>
  <c r="F92" i="13" s="1"/>
  <c r="H9" i="3"/>
  <c r="H17" i="3" s="1"/>
  <c r="U202" i="7"/>
  <c r="D123" i="13"/>
  <c r="F123" i="13" s="1"/>
  <c r="V199" i="7"/>
  <c r="U203" i="5"/>
  <c r="U202" i="6"/>
  <c r="D117" i="13"/>
  <c r="F117" i="13" s="1"/>
  <c r="F31" i="3"/>
  <c r="Q246" i="8"/>
  <c r="R246" i="8"/>
  <c r="D76" i="13" l="1"/>
  <c r="F76" i="13" s="1"/>
  <c r="F9" i="9"/>
  <c r="G11" i="3" s="1"/>
  <c r="D137" i="13"/>
  <c r="F137" i="13" s="1"/>
  <c r="U243" i="6"/>
  <c r="V202" i="6"/>
  <c r="D65" i="13"/>
  <c r="F65" i="13" s="1"/>
  <c r="F9" i="8"/>
  <c r="F11" i="3" s="1"/>
  <c r="F13" i="8"/>
  <c r="F15" i="3" s="1"/>
  <c r="V243" i="8"/>
  <c r="D131" i="13" s="1"/>
  <c r="F131" i="13" s="1"/>
  <c r="U245" i="8"/>
  <c r="U244" i="8"/>
  <c r="D88" i="13"/>
  <c r="F88" i="13" s="1"/>
  <c r="F12" i="10"/>
  <c r="H14" i="3" s="1"/>
  <c r="D87" i="13"/>
  <c r="F87" i="13" s="1"/>
  <c r="F9" i="10"/>
  <c r="H11" i="3" s="1"/>
  <c r="D66" i="13"/>
  <c r="F66" i="13" s="1"/>
  <c r="F12" i="8"/>
  <c r="F14" i="3" s="1"/>
  <c r="D112" i="13"/>
  <c r="F112" i="13" s="1"/>
  <c r="V203" i="5"/>
  <c r="U243" i="7"/>
  <c r="V202" i="7"/>
  <c r="U245" i="10"/>
  <c r="V243" i="10"/>
  <c r="D143" i="13" s="1"/>
  <c r="F143" i="13" s="1"/>
  <c r="F13" i="10"/>
  <c r="H15" i="3" s="1"/>
  <c r="U243" i="11"/>
  <c r="V202" i="11"/>
  <c r="D55" i="13"/>
  <c r="F55" i="13" s="1"/>
  <c r="F12" i="7"/>
  <c r="E14" i="3" s="1"/>
  <c r="U243" i="5"/>
  <c r="V202" i="5"/>
  <c r="D118" i="13"/>
  <c r="F118" i="13" s="1"/>
  <c r="V203" i="6"/>
  <c r="D99" i="13"/>
  <c r="F99" i="13" s="1"/>
  <c r="F12" i="11"/>
  <c r="I14" i="3" s="1"/>
  <c r="D32" i="13" l="1"/>
  <c r="F32" i="13" s="1"/>
  <c r="F9" i="5"/>
  <c r="C11" i="3" s="1"/>
  <c r="D54" i="13"/>
  <c r="F54" i="13" s="1"/>
  <c r="F9" i="7"/>
  <c r="E11" i="3" s="1"/>
  <c r="V243" i="5"/>
  <c r="D113" i="13" s="1"/>
  <c r="F113" i="13" s="1"/>
  <c r="U245" i="5"/>
  <c r="F13" i="5"/>
  <c r="C15" i="3" s="1"/>
  <c r="F35" i="3"/>
  <c r="V244" i="8"/>
  <c r="F250" i="8"/>
  <c r="F251" i="8"/>
  <c r="F249" i="8"/>
  <c r="U246" i="8"/>
  <c r="D128" i="13"/>
  <c r="F128" i="13" s="1"/>
  <c r="F7" i="8"/>
  <c r="D44" i="13"/>
  <c r="F44" i="13" s="1"/>
  <c r="F12" i="6"/>
  <c r="D14" i="3" s="1"/>
  <c r="U245" i="7"/>
  <c r="V243" i="7"/>
  <c r="D125" i="13" s="1"/>
  <c r="F125" i="13" s="1"/>
  <c r="F13" i="7"/>
  <c r="E15" i="3" s="1"/>
  <c r="D33" i="13"/>
  <c r="F33" i="13" s="1"/>
  <c r="F12" i="5"/>
  <c r="C14" i="3" s="1"/>
  <c r="D43" i="13"/>
  <c r="F43" i="13" s="1"/>
  <c r="F9" i="6"/>
  <c r="D11" i="3" s="1"/>
  <c r="V243" i="6"/>
  <c r="D119" i="13" s="1"/>
  <c r="F119" i="13" s="1"/>
  <c r="F13" i="6"/>
  <c r="D15" i="3" s="1"/>
  <c r="U245" i="6"/>
  <c r="D98" i="13"/>
  <c r="F98" i="13" s="1"/>
  <c r="F9" i="11"/>
  <c r="I11" i="3" s="1"/>
  <c r="F13" i="11"/>
  <c r="I15" i="3" s="1"/>
  <c r="V243" i="11"/>
  <c r="D149" i="13" s="1"/>
  <c r="F149" i="13" s="1"/>
  <c r="U245" i="11"/>
  <c r="D69" i="13" l="1"/>
  <c r="F69" i="13" s="1"/>
  <c r="F6" i="8"/>
  <c r="F8" i="3" s="1"/>
  <c r="F8" i="8"/>
  <c r="F10" i="3" s="1"/>
  <c r="C3" i="13"/>
  <c r="D70" i="13"/>
  <c r="F70" i="13" s="1"/>
  <c r="F9" i="3"/>
</calcChain>
</file>

<file path=xl/sharedStrings.xml><?xml version="1.0" encoding="utf-8"?>
<sst xmlns="http://schemas.openxmlformats.org/spreadsheetml/2006/main" count="7570" uniqueCount="1249">
  <si>
    <t>Safe Sanitation Services (SASS): emission reductions calculation tool</t>
  </si>
  <si>
    <t>Release date</t>
  </si>
  <si>
    <t>Version</t>
  </si>
  <si>
    <t>Tool Version 1.0, for GS4GG PAA M400-15, Safe Sanitation Services (SASS), Version 1.0</t>
  </si>
  <si>
    <t>Calculation tool for GS4GG PAA M400-15, Safe Sanitation Services (SASS), Version 1.0</t>
  </si>
  <si>
    <t>Purpose</t>
  </si>
  <si>
    <t>Calculates the emission reductions of a safe sanitation activity under the methodology, shows the activity developer how each equation is applied, and cross-checks the calculations. It covers baseline, activity and leakage emissions for each monitoring period over 10 to 15 operating years.</t>
  </si>
  <si>
    <t>Methodology</t>
  </si>
  <si>
    <t>GS4GG PAA M400-15, Safe Sanitation Services (SASS), Version 1.0. All equation, section and parameter (SASS 1 to SASS 22) numbers refer to Version 1.0 of the methodology. AR5 GWP100 values apply.</t>
  </si>
  <si>
    <t>Status</t>
  </si>
  <si>
    <t>Tool Version 1.0, for Version 1.0 of the methodology. The seven scenarios (five configurations, two of them repeated with measured values) use illustrative inputs chosen to exercise every equation at city-programme scale; they are not defaults and do not represent any activity. Defaults are taken from the methodology and cited sources (sheet "Defaults").</t>
  </si>
  <si>
    <t>How to use</t>
  </si>
  <si>
    <t>Start from the scenario closest to the activity, replace the yellow inputs with the activity's own data, and read the results at the top of the sheet. The sheet "Guide" explains each step, the equation map and the simplifications.</t>
  </si>
  <si>
    <t>Colour code</t>
  </si>
  <si>
    <t>Yellow cells with blue text: inputs. Black text: formulas. Green text: values linked from "Defaults". Lime cells: key results. Red text: flags that need attention.</t>
  </si>
  <si>
    <t>Protection</t>
  </si>
  <si>
    <t>Formulas, defaults and lists are locked. Only the yellow input cells can be changed, by typing or by selecting from the drop-down lists. Save a separate copy of the workbook for each activity.</t>
  </si>
  <si>
    <t>Precedence</t>
  </si>
  <si>
    <t>Version 1.0 of the methodology governs. Where this tool and the methodology differ, the methodology applies. Results of the tools the methodology cites (CDM TOOL13 and TOOL14, GS4GG Methodology Tools 01 and 02, A6.4-AMT-007) govern the terms they cover.</t>
  </si>
  <si>
    <t>Sheets in this workbook</t>
  </si>
  <si>
    <t>Guide</t>
  </si>
  <si>
    <t>How to use the tool, structure of the scenario sheets, equation map, parameter index and simplifications.</t>
  </si>
  <si>
    <t>Summary</t>
  </si>
  <si>
    <t>Results of the six scenarios side by side, with annual emission reductions claimed.</t>
  </si>
  <si>
    <t>Credit map</t>
  </si>
  <si>
    <t>Where credits arise: net result per 1,000 persons per year for each combination of baseline pathway and treatment.</t>
  </si>
  <si>
    <t>S1 CBS-OD</t>
  </si>
  <si>
    <t>Scenario 1: container-based sanitation replacing open defecation (Ghana, 60,000 persons).</t>
  </si>
  <si>
    <t>S2 Pit service</t>
  </si>
  <si>
    <t>Scenario 2: pit latrine service with replacement and emptying (Ghana, 100,000 persons).</t>
  </si>
  <si>
    <t>S2M Pit measured</t>
  </si>
  <si>
    <t>Scenario 2 with measured values in place of defaults.</t>
  </si>
  <si>
    <t>S3 Septic-AD</t>
  </si>
  <si>
    <t>Scenario 3: septic tank emptying with anaerobic digestion (India, 250,000 persons), 15 operating years.</t>
  </si>
  <si>
    <t>S4 Mixed urban</t>
  </si>
  <si>
    <t>Scenario 4: mixed urban pathways, including a sewered area without treatment (India, 300,000 persons).</t>
  </si>
  <si>
    <t>S4M Mixed measured</t>
  </si>
  <si>
    <t>Scenario 4 with measured values in place of defaults.</t>
  </si>
  <si>
    <t>S5 Refugee camp</t>
  </si>
  <si>
    <t>Scenario 5: refugee camp and host community, a displacement setting under Section 3.2.9 (36,000 persons).</t>
  </si>
  <si>
    <t>Helpers</t>
  </si>
  <si>
    <t>Worked monitoring calculations: Operational Fraction survey, Collection Compliance mass balance, missing data, substantiated UAF, substantiated BOD and the true-up on termination.</t>
  </si>
  <si>
    <t>Checks</t>
  </si>
  <si>
    <t>Re-derivation of methodology defaults, internal consistency tests and comparison with an independent calculation of the scenarios.</t>
  </si>
  <si>
    <t>Defaults</t>
  </si>
  <si>
    <t>Methodology defaults and cited values used by the calculations.</t>
  </si>
  <si>
    <t>Lists</t>
  </si>
  <si>
    <t>Values for the drop-down selectors.</t>
  </si>
  <si>
    <t>Guide to the calculation tool (methodology Version 1.0)</t>
  </si>
  <si>
    <t>1. How to use the tool</t>
  </si>
  <si>
    <t>Step 1</t>
  </si>
  <si>
    <t>Save a copy of the workbook for the activity and choose the scenario sheet closest to it. Each scenario sheet is self-contained; only its yellow input cells can be changed. Formulas, defaults and lists are locked.</t>
  </si>
  <si>
    <t>Step 2</t>
  </si>
  <si>
    <t>Part A: select the host country, commissioning date, operating period (10 to 15 years) and the options for electricity, fuels and transport.</t>
  </si>
  <si>
    <t>Step 3</t>
  </si>
  <si>
    <t>Part B: where any stratum is suppressed demand, enter the shares of household-scale basic-service technologies among the already-served population.</t>
  </si>
  <si>
    <t>Step 4</t>
  </si>
  <si>
    <t>Part C: describe up to five baseline strata. For each, select the baseline pathway, the persons served per pit for dry pits, whether the activity empties containment that remains in use, the baseline disposal route where the containment was already emptied, and up to two treatment units. Where values are measured, enter the substantiated MCF and its downside (Sections 7.3.7 and 7.8), the organic content of removed pit sludge (SASS 21) and the nitrogen content of waste delivered to treatment (SASS 22); blank cells keep the defaults.</t>
  </si>
  <si>
    <t>Step 5</t>
  </si>
  <si>
    <t>Part D: list equipment and infrastructure with their tier, material, mass, number and year of installation.</t>
  </si>
  <si>
    <t>Step 6</t>
  </si>
  <si>
    <t>Part E: enter the monitored values for each monitoring period: served population (SASS 6), sludge removed from pits (SASS 18), wet mass delivered to treatment where nitrogen is measured, Operational Fraction (SASS 8), Collection Compliance Factor (SASS 9), electricity and fuel, the CDM TOOL13 and TOOL14 results and effluent data (SASS 19).</t>
  </si>
  <si>
    <t>Step 7</t>
  </si>
  <si>
    <t>Read the key results at the top of the sheet and the contribution of each stratum in Part E, review any red flags in Parts B and C, and compare against the sheets "Summary" and "Credit map". The sheet "Checks" re-derives the defaults and tests the calculations.</t>
  </si>
  <si>
    <t>2. Structure of each scenario sheet</t>
  </si>
  <si>
    <t>Key results</t>
  </si>
  <si>
    <t>Totals for the operating period and the first 10 years, the components of Equation 11, the host-Party mitigation contribution and a summary of input checks.</t>
  </si>
  <si>
    <t>Part A</t>
  </si>
  <si>
    <t>Activity settings: host country and its BOD, protein supply and DAF; substantiated BOD and B0 and their measured uncertainties; commissioning date; operating period and termination; electricity, fuel and transport options; linked constants.</t>
  </si>
  <si>
    <t>Part B</t>
  </si>
  <si>
    <t>Suppressed-demand counterfactual (Section 7.3.5): weighted MCF of household-scale basic services, the 0.5 cap, the 5% deduction and the UAF on the counterfactual mix.</t>
  </si>
  <si>
    <t>Part C</t>
  </si>
  <si>
    <t>Baseline strata (one column each): pathway; substantiated MCF and measured downside; methane conversion factor and UAF applied; measured organic content of removed pit sludge and nitrogen content of waste delivered to treatment; treatment units with their MCF and N2O factors; input checks.</t>
  </si>
  <si>
    <t>Part D</t>
  </si>
  <si>
    <t>Equipment and infrastructure for embodied emissions (Annex A2.5): tier, factor, mass, total embodied emissions and installation date.</t>
  </si>
  <si>
    <t>Part E</t>
  </si>
  <si>
    <t>Annual calculation by calendar-year monitoring period: timing and DAF; Equations 1, 1a and 2 by stratum; treatment-unit methane and Equation 9a or 9b nitrous oxide; the contribution of each stratum; Equations 1 to 7 in total; activity emissions (Equations 8 and 9); leakage (Equation 10 and Annex A2.5.4, with the true-up); and Equation 11.</t>
  </si>
  <si>
    <t>3. Scenarios</t>
  </si>
  <si>
    <t>Sheet</t>
  </si>
  <si>
    <t>Setting</t>
  </si>
  <si>
    <t>Demonstrates</t>
  </si>
  <si>
    <t>Selected options</t>
  </si>
  <si>
    <t>Container-based sanitation for 60,000 persons in Ghana; part-year first period; 10 years.</t>
  </si>
  <si>
    <t>Suppressed-demand cap and deduction; UAF on the counterfactual mix; small-family dry pit; unknown pathway; Tier 1 container replacement; zero transport emissions for hand-carts and renewable-powered tricycles.</t>
  </si>
  <si>
    <t>BOD Africa 0.037; DAF 2.76%; electricity default 1.3 tCO2e/MWh; composting by CDM TOOL13.</t>
  </si>
  <si>
    <t>Pit latrine service for 100,000 persons in Ghana: 80,000 move from decommissioned pits to CBS; 20,000 keep pits that the activity empties.</t>
  </si>
  <si>
    <t>Credits from decommissioned wet and shared pits (whole load diverted); Equation 1a for pits that stay in use, whose contribution is small; drying-bed methane and nitrous oxide; fuel-based transport.</t>
  </si>
  <si>
    <t>Diesel vacuum and transfer trucks; drying beds and co-composting.</t>
  </si>
  <si>
    <t>Scenario 2 with measured values.</t>
  </si>
  <si>
    <t>Substantiated BOD and pit MCFs with measured uncertainties (Sections 7.3.7, 7.8); measured organic content of removed sludge (Section 7.3.6(c)); measured nitrogen content and Equation 9b (Section 8.8.3), which raises the drying-bed nitrous oxide.</t>
  </si>
  <si>
    <t>All measured values illustrative.</t>
  </si>
  <si>
    <t>Septic tank emptying for 250,000 persons in India with anaerobic digestion; 15 years.</t>
  </si>
  <si>
    <t>Septic removal fraction 0.5; baseline disposal route (Section 7.3.6(b)) with UAF 0.31; CDM TOOL14 entries; digestate storage and land-application nitrous oxide; calculated electricity factor; DAF carried forward after 2030.</t>
  </si>
  <si>
    <t>BOD India 0.034; DAF 2.04%; fleet replacement in year 9.</t>
  </si>
  <si>
    <t>City-wide service for 300,000 persons in India; 12 years.</t>
  </si>
  <si>
    <t>CBS for suppressed demand and decommissioned pits; septage by mechanical dewatering and co-composting; sewered without treatment (sewer plus discharge MCF, UAF 0.31), net negative under the defaults; wastewater and effluent emissions.</t>
  </si>
  <si>
    <t>Aerobic wastewater plant; default electricity factor; default UAF for suppressed demand.</t>
  </si>
  <si>
    <t>Scenario 4 with measured values.</t>
  </si>
  <si>
    <t>Substantiated MCFs with measured downsides, including the untreated sewer discharge (UAF about 0.68 instead of 0.31); UAF computed on the suppressed-demand mix; calculated electricity factor.</t>
  </si>
  <si>
    <t>Refugee camp of 30,000 residents and a host community of 6,000 (displacement setting, Section 3.2.9); camp consolidated after year 8.</t>
  </si>
  <si>
    <t>Communal pits (persons per pit recorded) and household pits decommissioned for CBS; desludging of communal latrines that stay in use (Equation 1a); suppressed demand baselined on the settlement mix only (Section 7.3.5(a)(i)); registered population falling with repatriation; host-community septic emptying; true-up on camp consolidation (Sections 3.2.9(f), 9.2.4).</t>
  </si>
  <si>
    <t>Population from camp registration records (lower of registered and enrolled, Section 3.2.9(d)); diesel transport; co-composting.</t>
  </si>
  <si>
    <t>4. Equation map</t>
  </si>
  <si>
    <t>Equation</t>
  </si>
  <si>
    <t>What it calculates</t>
  </si>
  <si>
    <t>Methodology section</t>
  </si>
  <si>
    <t>Where in the scenario sheets</t>
  </si>
  <si>
    <t>Equation 1</t>
  </si>
  <si>
    <t>Unadjusted baseline methane by stratum: P × Days × BOD × B0 × MCF_BAU × f_rem × GWP_CH4 × 10⁻³</t>
  </si>
  <si>
    <t>Section 7.3.3</t>
  </si>
  <si>
    <t>Part E, each stratum, "Unadjusted baseline emissions"</t>
  </si>
  <si>
    <t>Equation 1a</t>
  </si>
  <si>
    <t>Fraction of the baseline organic load diverted from pits that remain in use: MIN(1; M_FS × OC_FS × 10³ ÷ (P × Days × BOD))</t>
  </si>
  <si>
    <t>Section 7.3.6(a)(ii)</t>
  </si>
  <si>
    <t>Part E, each stratum, "Fraction of the baseline organic load diverted"</t>
  </si>
  <si>
    <t>Section 7.3.4</t>
  </si>
  <si>
    <t>MCF selection: discrete categories, persons per pit, sewer plus discharge for untreated sewered populations</t>
  </si>
  <si>
    <t>Section 7.3.4; Annex A2.3</t>
  </si>
  <si>
    <t>Part C, "Methane conversion factor applied"</t>
  </si>
  <si>
    <t>Section 7.3.5</t>
  </si>
  <si>
    <t>Suppressed demand: MIN(0.5; weighted MCF) × (1 − 0.05), communal value excluded</t>
  </si>
  <si>
    <t>Section 7.3.5; SASS 14</t>
  </si>
  <si>
    <t>Section 7.3.6</t>
  </si>
  <si>
    <t>Septic removal fraction 0.5; MCF of the baseline disposal route where already emptied; measured organic content of removed pit sludge (7.3.6(c))</t>
  </si>
  <si>
    <t>Part C; Part E</t>
  </si>
  <si>
    <t>Sections 7.3.7, 7.8</t>
  </si>
  <si>
    <t>Substantiated B0, BOD and MCF; UAF from measured uncertainties</t>
  </si>
  <si>
    <t>Sections 7.3.7, 7.8; Annex A2.6</t>
  </si>
  <si>
    <t>Part A; Part C</t>
  </si>
  <si>
    <t>Equation 2</t>
  </si>
  <si>
    <t>BE_unc = BE_unadj × UAF, pathway-specific (Annex A2.6)</t>
  </si>
  <si>
    <t>Section 7.4.1</t>
  </si>
  <si>
    <t>Part E, each stratum and total</t>
  </si>
  <si>
    <t>Equation 3</t>
  </si>
  <si>
    <t>BE_adj = BE_unc × (1 − DAF)</t>
  </si>
  <si>
    <t>Section 7.4.2</t>
  </si>
  <si>
    <t>Part E, "Ambition-adjusted baseline emissions"</t>
  </si>
  <si>
    <t>Equation 4</t>
  </si>
  <si>
    <t>BAU = BE_unc</t>
  </si>
  <si>
    <t>Section 7.5</t>
  </si>
  <si>
    <t>Equation 5</t>
  </si>
  <si>
    <t>BE_min = MIN(BE_adj; BAU)</t>
  </si>
  <si>
    <t>Section 7.6</t>
  </si>
  <si>
    <t>Equation 6</t>
  </si>
  <si>
    <t>BE = BE_min × OF × CC</t>
  </si>
  <si>
    <t>Part E, "Crediting baseline emissions"</t>
  </si>
  <si>
    <t>Equation 7</t>
  </si>
  <si>
    <t>Δ = BAU − BE_min (host-Party mitigation contribution)</t>
  </si>
  <si>
    <t>Part E; key results</t>
  </si>
  <si>
    <t>Equation 8</t>
  </si>
  <si>
    <t>AE = AE_op + AE_trans + AE_comp + AE_biogas + AE_fst + AE_ww + AE_eff</t>
  </si>
  <si>
    <t>Section 8.2</t>
  </si>
  <si>
    <t>Part E, "Total activity emissions"</t>
  </si>
  <si>
    <t>Equation 9</t>
  </si>
  <si>
    <t>AE_op = AE_op,elec + AE_op,fuel</t>
  </si>
  <si>
    <t>Section 8.3</t>
  </si>
  <si>
    <t>Section 8.7.1</t>
  </si>
  <si>
    <t>Wastewater treatment methane (Table 6.3 MCF on the organic-load basis) and effluent methane from residual BOD</t>
  </si>
  <si>
    <t>Part E, each stratum; "Emissions from effluent discharge"</t>
  </si>
  <si>
    <t>Section 8.8.1(a)</t>
  </si>
  <si>
    <t>Faecal sludge treatment methane: Equation 1 with the MCF of the unit</t>
  </si>
  <si>
    <t>Part E, each stratum, "Methane from treatment unit"</t>
  </si>
  <si>
    <t>Equation 9a</t>
  </si>
  <si>
    <t>Nitrous oxide: Σ(P × f_rem) × N_capita × Days/365 × EF_N2O × 44/28 × GWP_N2O × 10⁻³</t>
  </si>
  <si>
    <t>Sections 8.7.1, 8.8.1(b), 9.2.2(a)</t>
  </si>
  <si>
    <t>Part E, each stratum: treatment units, land application, digestate storage</t>
  </si>
  <si>
    <t>Equation 9b</t>
  </si>
  <si>
    <t>Nitrous oxide from measured nitrogen: M × N × EF_N2O × 44/28 × GWP_N2O × 10⁻³</t>
  </si>
  <si>
    <t>Section 8.8.3</t>
  </si>
  <si>
    <t>Part E, each stratum, where nitrogen content is entered in Part C</t>
  </si>
  <si>
    <t>Equation 10</t>
  </si>
  <si>
    <t>LE = LE_embodied + LE_market + LE_proc</t>
  </si>
  <si>
    <t>Section 9.1</t>
  </si>
  <si>
    <t>Part E, "Total leakage emissions"</t>
  </si>
  <si>
    <t>Annex A2.5.4</t>
  </si>
  <si>
    <t>Embodied emissions amortised by days: Σ(M × EF_emb) ÷ (AM × 365) × D × 10⁻³; Tier 1 in full on deployment</t>
  </si>
  <si>
    <t>Annex A2.5.4; Section 9.2.3</t>
  </si>
  <si>
    <t>Part D; Part E, item rows</t>
  </si>
  <si>
    <t>Section 9.2.4</t>
  </si>
  <si>
    <t>True-up of unamortised embodied emissions on termination</t>
  </si>
  <si>
    <t>Part E, "True-up"</t>
  </si>
  <si>
    <t>Equation 11</t>
  </si>
  <si>
    <t>ER = BE − AE − LE; a negative value is not claimed and not carried forward</t>
  </si>
  <si>
    <t>Section 10.1</t>
  </si>
  <si>
    <t>Part E, "Net emission reductions" and "claimed"</t>
  </si>
  <si>
    <t>Annex A2.6</t>
  </si>
  <si>
    <t>UAF = 1 − 0.6541 × √(U_B0² + U_BOD² + d²)</t>
  </si>
  <si>
    <t>Defaults 3; Part B; Helpers H4; Checks</t>
  </si>
  <si>
    <t>5. Parameter index</t>
  </si>
  <si>
    <t>Parameter</t>
  </si>
  <si>
    <t>Description</t>
  </si>
  <si>
    <t>Value or source</t>
  </si>
  <si>
    <t>Where in the tool</t>
  </si>
  <si>
    <t>SASS 1</t>
  </si>
  <si>
    <t>Baseline pathways</t>
  </si>
  <si>
    <t>Baseline Scenario Survey</t>
  </si>
  <si>
    <t>Part C, "Baseline pathway"</t>
  </si>
  <si>
    <t>SASS 2</t>
  </si>
  <si>
    <t>GWP of methane</t>
  </si>
  <si>
    <t>28 (AR5)</t>
  </si>
  <si>
    <t>Defaults 1; Part A</t>
  </si>
  <si>
    <t>SASS 3</t>
  </si>
  <si>
    <t>B0</t>
  </si>
  <si>
    <t>0.6 kg CH4/kg BOD</t>
  </si>
  <si>
    <t>SASS 4</t>
  </si>
  <si>
    <t>BOD per capita</t>
  </si>
  <si>
    <t>Table 6.4 by host country; substantiated value capped at 150%</t>
  </si>
  <si>
    <t>Defaults 2; Part A; Helpers H5</t>
  </si>
  <si>
    <t>SASS 5</t>
  </si>
  <si>
    <t>MCF of the baseline pathway</t>
  </si>
  <si>
    <t>Annex A2.3; Section 7.3.5 for suppressed demand</t>
  </si>
  <si>
    <t>Defaults 3; Parts B and C</t>
  </si>
  <si>
    <t>SASS 6</t>
  </si>
  <si>
    <t>Served population by pathway</t>
  </si>
  <si>
    <t>Monitored</t>
  </si>
  <si>
    <t>Part E, each stratum</t>
  </si>
  <si>
    <t>SASS 7</t>
  </si>
  <si>
    <t>Days in the monitoring period</t>
  </si>
  <si>
    <t>Calendar days from commissioning</t>
  </si>
  <si>
    <t>Part E, timing</t>
  </si>
  <si>
    <t>SASS 8</t>
  </si>
  <si>
    <t>Operational Fraction</t>
  </si>
  <si>
    <t>Survey at 90/10</t>
  </si>
  <si>
    <t>Part E; Helpers H1</t>
  </si>
  <si>
    <t>SASS 9</t>
  </si>
  <si>
    <t>Collection Compliance Factor</t>
  </si>
  <si>
    <t>Mass balance; 14-day storage rule</t>
  </si>
  <si>
    <t>Part E; Helpers H2, H3</t>
  </si>
  <si>
    <t>SASS 10, 11</t>
  </si>
  <si>
    <t>Equity indicator; product safety</t>
  </si>
  <si>
    <t>Safeguards (SASS 11 failed batches reduce CC)</t>
  </si>
  <si>
    <t>Helpers H2</t>
  </si>
  <si>
    <t>SASS 12</t>
  </si>
  <si>
    <t>DAF</t>
  </si>
  <si>
    <t>GS4GG PAA MT400-05</t>
  </si>
  <si>
    <t>Defaults 2; Part A; Part E</t>
  </si>
  <si>
    <t>SASS 13</t>
  </si>
  <si>
    <t>UAF</t>
  </si>
  <si>
    <t>Pathway-specific; 0.57 where not computed</t>
  </si>
  <si>
    <t>Defaults 3; Part C; Helpers H4</t>
  </si>
  <si>
    <t>SASS 14</t>
  </si>
  <si>
    <t>Suppressed-demand deduction</t>
  </si>
  <si>
    <t>0.05</t>
  </si>
  <si>
    <t>Defaults 1; Part B</t>
  </si>
  <si>
    <t>SASS 15</t>
  </si>
  <si>
    <t>Organic content of pit sludge, default</t>
  </si>
  <si>
    <t>0.0018 kg BOD/kg wet</t>
  </si>
  <si>
    <t>Defaults 1; Checks</t>
  </si>
  <si>
    <t>SASS 16</t>
  </si>
  <si>
    <t>Default electricity factor</t>
  </si>
  <si>
    <t>1.3 tCO2e/MWh</t>
  </si>
  <si>
    <t>SASS 17</t>
  </si>
  <si>
    <t>Nitrogen in excreta per person</t>
  </si>
  <si>
    <t>FAO protein supply × 0.16</t>
  </si>
  <si>
    <t>Defaults 2; Part A</t>
  </si>
  <si>
    <t>SASS 18</t>
  </si>
  <si>
    <t>Sludge removed from pits remaining in use</t>
  </si>
  <si>
    <t>SASS 19</t>
  </si>
  <si>
    <t>Effluent volume and BOD</t>
  </si>
  <si>
    <t>Part E, activity emissions</t>
  </si>
  <si>
    <t>SASS 20</t>
  </si>
  <si>
    <t>Mass of material in equipment</t>
  </si>
  <si>
    <t>Bill of quantities</t>
  </si>
  <si>
    <t>SASS 21</t>
  </si>
  <si>
    <t>Measured organic content of removed pit sludge</t>
  </si>
  <si>
    <t>Accredited laboratory, lower 90% bound</t>
  </si>
  <si>
    <t>SASS 22</t>
  </si>
  <si>
    <t>Nitrogen content of waste delivered to treatment</t>
  </si>
  <si>
    <t>Accredited laboratory, upper 90% bound</t>
  </si>
  <si>
    <t>6. Simplifications and points to note</t>
  </si>
  <si>
    <t>•</t>
  </si>
  <si>
    <t>Monitoring periods are calendar years. Year 1 runs from the commissioning date; the DAF is applied by calendar year of vintage. Crediting periods are shown by monitoring year; where commissioning is not on 1 January, a crediting-period boundary falls within a year.</t>
  </si>
  <si>
    <t>The served population (SASS 6) is the average over the period. Where enrolment changes within a period, enter person-days divided by days in the period.</t>
  </si>
  <si>
    <t>Electricity, fuel and transport are calculated in simplified form: metered MWh × the default 1.3 tCO2e/MWh or a factor calculated under A6.4-AMT-007; litres × density × IPCC NCV × IPCC CO2 factor at the upper 95% limits. GS4GG Methodology Tools 01 and 02 and A6.4-AMT-007 govern.</t>
  </si>
  <si>
    <t>Composting (CDM TOOL13) and anaerobic digestion (CDM TOOL14) are entered as tool results. The scenario values are illustrative, from the 2006 IPCC dry-weight factors for biological treatment applied to dry faeces and septage solids (Defaults 8); they are not methodology defaults.</t>
  </si>
  <si>
    <t>Faecal-sludge treatment units apply Equation 1 with the MCF of the unit to each unit selected; where units are in series, each is quantified on the full organic load of the line (Section 8.8.1(a)). Mechanical dewatering is not a unit listed in Section 8.8.1 and carries no methane or nitrous oxide; its electricity is counted.</t>
  </si>
  <si>
    <t>Nitrous oxide factors: the Table 6.8A value for the treatment system applies where the table gives one; otherwise 0.016 kg N2O-N/kg N (centralised plants). The Defaults sheet applies 0.016 to every unit unless a Table 6.8A value is entered.</t>
  </si>
  <si>
    <t>Where the nitrogen content of waste delivered to treatment is measured (SASS 22), the tool applies Equation 9b to the nitrogen mass delivered and uses the same nitrogen mass for digestate storage and land disposal, which does not understate nitrogen.</t>
  </si>
  <si>
    <t>Measured values (Sections 7.3.6(c), 7.3.7, 7.8 and 8.8.3) apply whether they raise or lower emission reductions; blank cells keep the defaults. The measured values in S2M and S4M are illustrative.</t>
  </si>
  <si>
    <t>DAF values beyond 2030 are not yet published. The 2026–2030 value is carried forward and flagged in orange; enter the MT400-05 value for later periods when it is published.</t>
  </si>
  <si>
    <t>The UAF is applied stratum by stratum with the pathway-specific factors of Section 7.4.1, or from measured uncertainties where entered. For suppressed demand, the UAF on the counterfactual mix adds the share-weighted MCF downsides linearly, which does not understate the uncertainty.</t>
  </si>
  <si>
    <t>The stratum contribution rows in Part E are for information: credited baseline of the stratum less its own treatment, storage and land-application emissions, before shared emissions (TOOL13 and TOOL14 entries, energy, transport, embodied emissions).</t>
  </si>
  <si>
    <t>Embodied emissions of Tier 2 and Tier 3 items are amortised over five years from installation, by days; Tier 1 items are deducted in full in each year of deployment or replacement. On termination, the unamortised remainder is deducted in the final year (Helpers H6).</t>
  </si>
  <si>
    <t>Inputs in years beyond the operating period or after termination are ignored (shaded grey).</t>
  </si>
  <si>
    <t>Summary of scenario results</t>
  </si>
  <si>
    <t>Results as calculated in each scenario sheet. Inputs are illustrative; the results show how the methodology behaves for each configuration and are not estimates for any activity.</t>
  </si>
  <si>
    <t>Result</t>
  </si>
  <si>
    <t>Host country</t>
  </si>
  <si>
    <t>Operating period (years)</t>
  </si>
  <si>
    <t>Terminates after year (0 = continues)</t>
  </si>
  <si>
    <t>Emission reductions claimed, operating period (tCO2e)</t>
  </si>
  <si>
    <t>Emission reductions claimed, first 10 operating years (tCO2e)</t>
  </si>
  <si>
    <t>Average claimed per monitoring period (tCO2e)</t>
  </si>
  <si>
    <t>Crediting baseline emissions, Equation 6 (tCO2e)</t>
  </si>
  <si>
    <t>Activity emissions, Equation 8 (tCO2e)</t>
  </si>
  <si>
    <t>Leakage emissions, Equation 10 (tCO2e)</t>
  </si>
  <si>
    <t>Host-Party mitigation contribution, Equation 7 (tCO2e)</t>
  </si>
  <si>
    <t>Monitoring periods with a negative result (not claimed)</t>
  </si>
  <si>
    <t>Input checks</t>
  </si>
  <si>
    <t>Effect of measured values on the first 10 years (tCO2e)</t>
  </si>
  <si>
    <t>Emission reductions claimed by monitoring period (tCO2e)</t>
  </si>
  <si>
    <t>Operating year</t>
  </si>
  <si>
    <t>S1</t>
  </si>
  <si>
    <t>S2</t>
  </si>
  <si>
    <t>S2M</t>
  </si>
  <si>
    <t>S3</t>
  </si>
  <si>
    <t>S4</t>
  </si>
  <si>
    <t>S4M</t>
  </si>
  <si>
    <t>S5</t>
  </si>
  <si>
    <t>Where credits arise: net result per 1,000 persons per year, by baseline pathway and treatment</t>
  </si>
  <si>
    <t>Each row applies the methodology equations to one combination of baseline pathway and treatment, for a full year, with an Operational Fraction of 0.95 and a Collection Compliance Factor of 0.92. The credited baseline is Equations 1 to 6 for the stratum; the treatment charge is the treatment-unit methane (Section 8.8.1(a) or 8.7.1), nitrous oxide (Equation 9a or 9b) and the illustrative TOOL13 or TOOL14 entry. Transport, electricity and embodied emissions are excluded: they depend on scale and design and are calculated in the scenario sheets. Values in yellow can be changed to test other cases. "Marginal" means below 1 t per 1,000 persons per year, which transport alone usually exceeds.</t>
  </si>
  <si>
    <t>Configuration</t>
  </si>
  <si>
    <t>BOD (kg/person /day)</t>
  </si>
  <si>
    <t>MCF_BAU</t>
  </si>
  <si>
    <t>OF</t>
  </si>
  <si>
    <t>CC</t>
  </si>
  <si>
    <t>f_rem</t>
  </si>
  <si>
    <t>Treatment MCF (sum of units)</t>
  </si>
  <si>
    <t>N2O factor (sum of units)</t>
  </si>
  <si>
    <t>Nitrogen to treatment (kg N/person/yr)</t>
  </si>
  <si>
    <t>TOOL13/14, illustrative (kg CO2e/person/yr)</t>
  </si>
  <si>
    <t>Credited baseline (t per 1,000/yr)</t>
  </si>
  <si>
    <t>Treatment charged (t per 1,000/yr)</t>
  </si>
  <si>
    <t>Net (t per 1,000/yr)</t>
  </si>
  <si>
    <t>Notes</t>
  </si>
  <si>
    <t>Suppressed demand (S1 Ghana mix) → CBS and co-composting</t>
  </si>
  <si>
    <t>Suppressed demand (S4 India mix) → CBS and co-composting</t>
  </si>
  <si>
    <t>Wet pit decommissioned → CBS and co-composting (Ghana)</t>
  </si>
  <si>
    <t>Shared dry pit (more than 5 per pit) decommissioned → CBS (Ghana)</t>
  </si>
  <si>
    <t>Small-family dry pit decommissioned → CBS (Ghana)</t>
  </si>
  <si>
    <t>Low baseline MCF (0.1).</t>
  </si>
  <si>
    <t>Wet pit decommissioned → collected waste to drying beds (Ghana)</t>
  </si>
  <si>
    <t>Equation 9a nitrogen.</t>
  </si>
  <si>
    <t>Septic tank emptied → anaerobic digestion (India)</t>
  </si>
  <si>
    <t>Digestate storage and land nitrous oxide excluded (see S3).</t>
  </si>
  <si>
    <t>Septic tank emptied → mechanical dewatering and co-composting (India)</t>
  </si>
  <si>
    <t>Septic tank emptied → drying beds (India)</t>
  </si>
  <si>
    <t>Equation 9a assigns half of excreta nitrogen to the septage.</t>
  </si>
  <si>
    <t>Septic tank emptied → settling tank then drying beds (India)</t>
  </si>
  <si>
    <t>Each unit charged on the full load (Section 8.8.1(a)).</t>
  </si>
  <si>
    <t>Wet pit emptied, stays in use → drying beds (Ghana, default OC)</t>
  </si>
  <si>
    <t>0.15 t sludge per person per year; Equation 1a.</t>
  </si>
  <si>
    <t>Wet pit emptied, stays in use → drying beds (Ghana, measured OC 0.004 and N 1.5 kg/t)</t>
  </si>
  <si>
    <t>Sections 7.3.6(c) and 8.8.3; Equation 9b nitrogen.</t>
  </si>
  <si>
    <t>Sewered, untreated → aerobic wastewater plant (India, default UAF)</t>
  </si>
  <si>
    <t>UAF 0.31 (Section 7.4.1(b)).</t>
  </si>
  <si>
    <t>Sewered, untreated → aerobic wastewater plant (India, measured MCF downside 25%)</t>
  </si>
  <si>
    <t>UAF from measured uncertainty (Section 7.3.7).</t>
  </si>
  <si>
    <t>Reading the table. Credits arise where the whole baseline load is diverted from a pathway with a high methane conversion factor (wet pits, septic tanks, shared pits, suppressed demand) and treated in a process with a low charge (co-composting, anaerobic digestion, mechanical dewatering). Emptying pits that stay in use diverts only the organic load removed (Equation 1a), so its contribution is small whatever the scale. Drying beds and settling tanks are charged a methane conversion factor of 0.2 each and nitrous oxide at 0.016, which only a high-MCF baseline can absorb. The sewered pathway without treatment carries a UAF of 0.31 by default, which measurement under Section 7.3.7 can raise.</t>
  </si>
  <si>
    <t>Scenario 1: container-based sanitation replacing open defecation (Ghana, 60,000 persons)</t>
  </si>
  <si>
    <t>A city container-based sanitation (CBS) service enrols households that practised open defecation (suppressed demand), households whose dry pit latrines are replaced, and households whose prior practice is unknown. Containers are collected weekly by hand-cart and electric tricycle charged with renewable electricity, and co-composted. The first monitoring period is part-year. Demonstrates Equations 1–11, the suppressed-demand cap and deduction, the UAF on the counterfactual mix, the zero transport rule (Section 8.4) and Tier 1 container replacement.</t>
  </si>
  <si>
    <t xml:space="preserve">Key: </t>
  </si>
  <si>
    <t>Input</t>
  </si>
  <si>
    <t>Formula</t>
  </si>
  <si>
    <t>Link to Defaults</t>
  </si>
  <si>
    <t>Key result</t>
  </si>
  <si>
    <t>Applies GS4GG PAA M400-15, Safe Sanitation Services (SASS), Version 1.0. Only the yellow input cells can be changed.</t>
  </si>
  <si>
    <t>Key results (operating period)</t>
  </si>
  <si>
    <t>Emission reductions claimed, operating period</t>
  </si>
  <si>
    <t>tCO2e</t>
  </si>
  <si>
    <t>Emission reductions claimed, first 10 operating years</t>
  </si>
  <si>
    <t>Average claimed per monitoring period</t>
  </si>
  <si>
    <t>Crediting baseline emissions (Equation 6)</t>
  </si>
  <si>
    <t>Activity emissions (Equation 8)</t>
  </si>
  <si>
    <t>Leakage emissions (Equation 10)</t>
  </si>
  <si>
    <t>Host-Party mitigation contribution (Equation 7)</t>
  </si>
  <si>
    <t>periods</t>
  </si>
  <si>
    <t>Part A. Activity settings</t>
  </si>
  <si>
    <t>Item</t>
  </si>
  <si>
    <t>Symbol</t>
  </si>
  <si>
    <t>Unit</t>
  </si>
  <si>
    <t>Reference</t>
  </si>
  <si>
    <t>Value</t>
  </si>
  <si>
    <t>SASS 4, 12, 17</t>
  </si>
  <si>
    <t>Ghana</t>
  </si>
  <si>
    <t>Sets the BOD default, protein supply and DAF.</t>
  </si>
  <si>
    <t>BOD per capita, IPCC default for the host country</t>
  </si>
  <si>
    <t>BOD_capita</t>
  </si>
  <si>
    <t>kg/person/day</t>
  </si>
  <si>
    <t>SASS 4; Annex A2.2</t>
  </si>
  <si>
    <t>BOD per capita basis</t>
  </si>
  <si>
    <t>Section 7.8; Annex A2.2</t>
  </si>
  <si>
    <t>IPCC default (Table 6.4)</t>
  </si>
  <si>
    <t>A substantiated value applies whether it raises or lowers baseline emissions (Section 7.8).</t>
  </si>
  <si>
    <t>Substantiated BOD per capita (where substantiated)</t>
  </si>
  <si>
    <t>Annex A2.2</t>
  </si>
  <si>
    <t>Use the Helpers sheet (H5) to test a measured value.</t>
  </si>
  <si>
    <t>BOD per capita applied</t>
  </si>
  <si>
    <t>BOD_capita,i</t>
  </si>
  <si>
    <t>Maximum methane-producing capacity, default</t>
  </si>
  <si>
    <t>kg CH4/kg BOD</t>
  </si>
  <si>
    <t>Substantiated B0 (optional)</t>
  </si>
  <si>
    <t>Section 7.8</t>
  </si>
  <si>
    <t>Blank: the default applies.</t>
  </si>
  <si>
    <t>Maximum methane-producing capacity applied</t>
  </si>
  <si>
    <t>SASS 3; Section 7.8</t>
  </si>
  <si>
    <t>Uncertainty of B0 at 95% confidence, measured (optional)</t>
  </si>
  <si>
    <t>U_B0</t>
  </si>
  <si>
    <t>fraction</t>
  </si>
  <si>
    <t>Blank: 30% (Annex A2.6). Not lower than the precision of the sampling design.</t>
  </si>
  <si>
    <t>Uncertainty of B0 applied in the UAF</t>
  </si>
  <si>
    <t>Uncertainty of BOD per capita at 95% confidence, measured (optional)</t>
  </si>
  <si>
    <t>U_BOD</t>
  </si>
  <si>
    <t>Blank: 30% (Annex A2.6).</t>
  </si>
  <si>
    <t>Uncertainty of BOD per capita applied in the UAF</t>
  </si>
  <si>
    <t>Global warming potential of methane</t>
  </si>
  <si>
    <t>GWP_CH4</t>
  </si>
  <si>
    <t>tCO2e/tCH4</t>
  </si>
  <si>
    <t>Global warming potential of nitrous oxide</t>
  </si>
  <si>
    <t>GWP_N2O</t>
  </si>
  <si>
    <t>tCO2e/tN2O</t>
  </si>
  <si>
    <t>Annex A2.1</t>
  </si>
  <si>
    <t>Organic content of faecal sludge from pit latrines</t>
  </si>
  <si>
    <t>OC_FS</t>
  </si>
  <si>
    <t>kg BOD/kg wet</t>
  </si>
  <si>
    <t>Fraction removed from septic tanks emptied by the activity</t>
  </si>
  <si>
    <t>f_rem,i</t>
  </si>
  <si>
    <t>Section 7.3.6(a)(i)</t>
  </si>
  <si>
    <t>Protein supply, host country (FAO, 2023)</t>
  </si>
  <si>
    <t>g/person/day</t>
  </si>
  <si>
    <t>Protein supply, later FAOSTAT value (optional)</t>
  </si>
  <si>
    <t>N_capita</t>
  </si>
  <si>
    <t>kg N/person/yr</t>
  </si>
  <si>
    <t>Protein supply × 365 ÷ 1000 × 0.16 kg N per kg protein.</t>
  </si>
  <si>
    <t>DAF 2026–2030, MT400-05 value for the host country</t>
  </si>
  <si>
    <t>DAF 2026–2030 entered from MT400-05 (host country not in the table)</t>
  </si>
  <si>
    <t>DAF applied, 2026–2030</t>
  </si>
  <si>
    <t>SASS 12; Section 7.4.2</t>
  </si>
  <si>
    <t>DAF 2031–2035 (enter when MT400-05 publishes it)</t>
  </si>
  <si>
    <t>Blank: the 2026–2030 value is carried forward and flagged in Part E.</t>
  </si>
  <si>
    <t>DAF 2036–2040 (enter when MT400-05 publishes it)</t>
  </si>
  <si>
    <t>Commissioning date: start of the first monitoring period</t>
  </si>
  <si>
    <t>date</t>
  </si>
  <si>
    <t>Key information; SASS 7</t>
  </si>
  <si>
    <t>Each column of Part E is a calendar-year monitoring period; year 1 runs from this date to 31 December.</t>
  </si>
  <si>
    <t>Operating period assessed</t>
  </si>
  <si>
    <t>years</t>
  </si>
  <si>
    <t>10 to 15 years (up to three five-year crediting periods).</t>
  </si>
  <si>
    <t>Activity terminates at the end of operating year (0 = continues)</t>
  </si>
  <si>
    <t>year</t>
  </si>
  <si>
    <t>Unamortised embodied emissions are deducted in full in the final year.</t>
  </si>
  <si>
    <t>Electricity emission factor option</t>
  </si>
  <si>
    <t>Sections 8.3.2 and 8.3.3</t>
  </si>
  <si>
    <t>Default 1.3 tCO2e/MWh (SASS 16)</t>
  </si>
  <si>
    <t>Emission factor from A6.4-AMT-007 with GS4GG PAA MT400-10</t>
  </si>
  <si>
    <t>EF_EL</t>
  </si>
  <si>
    <t>tCO2e/MWh</t>
  </si>
  <si>
    <t>Section 8.3.2</t>
  </si>
  <si>
    <t>Electricity emission factor applied</t>
  </si>
  <si>
    <t>Fossil fuel used for treatment operation</t>
  </si>
  <si>
    <t>Diesel</t>
  </si>
  <si>
    <t>CO2 per litre, treatment fuel</t>
  </si>
  <si>
    <t>kg CO2/litre</t>
  </si>
  <si>
    <t>Defaults 6</t>
  </si>
  <si>
    <t>GS4GG Methodology Tool 01 governs.</t>
  </si>
  <si>
    <t>Emptying and transport mode</t>
  </si>
  <si>
    <t>Section 8.4</t>
  </si>
  <si>
    <t>Manual, or electric on 100% RE</t>
  </si>
  <si>
    <t>Manual push-carts, or electric vehicles charged with 100% renewable energy: transport emissions are zero.</t>
  </si>
  <si>
    <t>Fossil fuel used for emptying and transport</t>
  </si>
  <si>
    <t>None</t>
  </si>
  <si>
    <t>CO2 per litre, transport fuel</t>
  </si>
  <si>
    <t>GS4GG Methodology Tool 02 governs.</t>
  </si>
  <si>
    <t>Direct N2O factor for the digestate storage system</t>
  </si>
  <si>
    <t>EF_N2O,k</t>
  </si>
  <si>
    <t>kg N2O-N/kg N</t>
  </si>
  <si>
    <t>Section 9.2.2(a)</t>
  </si>
  <si>
    <t>IPCC 2019 Refinement, Volume 4, Chapter 10, Table 10.21, for the storage system.</t>
  </si>
  <si>
    <t>Direct N2O factor for nitrogen applied to soils</t>
  </si>
  <si>
    <t>EF1</t>
  </si>
  <si>
    <t>MCF of the environment receiving effluent</t>
  </si>
  <si>
    <t>MCF</t>
  </si>
  <si>
    <t>UAF where not computed</t>
  </si>
  <si>
    <t>Section 7.4.1(b)</t>
  </si>
  <si>
    <t>Part B. Suppressed-demand counterfactual (Section 7.3.5)</t>
  </si>
  <si>
    <t>Household-scale basic-service technology</t>
  </si>
  <si>
    <t>Lower bound</t>
  </si>
  <si>
    <t>Share of the already-served population</t>
  </si>
  <si>
    <t>Weighted MCF</t>
  </si>
  <si>
    <t>Weighted downside</t>
  </si>
  <si>
    <t>Illustrative shares of household-scale basic services among the already-served population; replace with the Baseline Scenario Survey or a recognised dataset (Section 7.3.5(a)(i)).</t>
  </si>
  <si>
    <t>Dry pit latrine, ≤ 5 persons per pit</t>
  </si>
  <si>
    <t>Wet pit latrine</t>
  </si>
  <si>
    <t>Septic tank</t>
  </si>
  <si>
    <t>Flowing sewer</t>
  </si>
  <si>
    <t>Sum of shares</t>
  </si>
  <si>
    <t>Weighted MCF of the counterfactual mix</t>
  </si>
  <si>
    <t>Section 7.3.5(a)(i)</t>
  </si>
  <si>
    <t>Lower of 0.5 and the weighted value</t>
  </si>
  <si>
    <t>Suppressed-demand MCF after the 5% deduction</t>
  </si>
  <si>
    <t>MCF_BAU,i</t>
  </si>
  <si>
    <t>SASS 14; Section 7.3.5(b)</t>
  </si>
  <si>
    <t>Relative downside uncertainty of the mix MCF</t>
  </si>
  <si>
    <t>d</t>
  </si>
  <si>
    <t>Downside of each technology weighted by its share and added linearly (a conservative aggregation).</t>
  </si>
  <si>
    <t>UAF basis for the suppressed-demand pathway</t>
  </si>
  <si>
    <t>Computed on the mix</t>
  </si>
  <si>
    <t>UAF, suppressed-demand pathway</t>
  </si>
  <si>
    <t>Part C. Baseline strata: one column per baseline pathway served (up to five)</t>
  </si>
  <si>
    <t>Stratum 1</t>
  </si>
  <si>
    <t>Stratum 2</t>
  </si>
  <si>
    <t>Stratum 3</t>
  </si>
  <si>
    <t>Stratum 4</t>
  </si>
  <si>
    <t>Stratum 5</t>
  </si>
  <si>
    <t>Stratum description</t>
  </si>
  <si>
    <t>Open defecation or unimproved (suppressed demand)</t>
  </si>
  <si>
    <t>Household dry pit latrines, replaced by CBS</t>
  </si>
  <si>
    <t>Prior practice unknown</t>
  </si>
  <si>
    <t>Baseline pathway (Baseline Scenario Survey)</t>
  </si>
  <si>
    <t>i</t>
  </si>
  <si>
    <t>SASS 1; Section 7.3.1</t>
  </si>
  <si>
    <t>Suppressed demand (open defecation or unimproved)</t>
  </si>
  <si>
    <t>Unknown</t>
  </si>
  <si>
    <t>Persons served per pit, as recorded in the survey</t>
  </si>
  <si>
    <t>persons</t>
  </si>
  <si>
    <t>Sections 7.3.1(b), 7.3.4</t>
  </si>
  <si>
    <t>Containment emptied by the activity and remaining in use</t>
  </si>
  <si>
    <t>Section 7.3.6(a)</t>
  </si>
  <si>
    <t>No: load fully diverted</t>
  </si>
  <si>
    <t>Disposal route where the containment was already emptied in the baseline</t>
  </si>
  <si>
    <t>Section 7.3.6(b)</t>
  </si>
  <si>
    <t>Not emptied in the baseline</t>
  </si>
  <si>
    <t>Substantiated MCF of the baseline pathway (optional)</t>
  </si>
  <si>
    <t>Methane conversion factor applied</t>
  </si>
  <si>
    <t>SASS 5; Sections 7.3.4–7.3.6, 7.8</t>
  </si>
  <si>
    <t>UAF basis</t>
  </si>
  <si>
    <t>Sections 7.3.7, 7.4.1</t>
  </si>
  <si>
    <t>Pathway-specific</t>
  </si>
  <si>
    <t>Measured downside of the MCF at 95% confidence, relative (optional)</t>
  </si>
  <si>
    <t>Section 7.3.7; Annex A2.6</t>
  </si>
  <si>
    <t>Uncertainty Adjustment Factor applied</t>
  </si>
  <si>
    <t>SASS 13; Annex A2.6</t>
  </si>
  <si>
    <t>Measured organic content of removed pit sludge, SASS 21 (optional)</t>
  </si>
  <si>
    <t>Section 7.3.6(c)</t>
  </si>
  <si>
    <t>Measured nitrogen content of waste delivered to treatment, SASS 22 (optional)</t>
  </si>
  <si>
    <t>N_k,y</t>
  </si>
  <si>
    <t>kg N/t wet</t>
  </si>
  <si>
    <t>Treatment unit 1</t>
  </si>
  <si>
    <t>k</t>
  </si>
  <si>
    <t>Sections 8.5 to 8.8</t>
  </si>
  <si>
    <t>Co-composting (CDM TOOL13)</t>
  </si>
  <si>
    <t>Treatment unit 2 (in series, where used)</t>
  </si>
  <si>
    <t>Type, unit 1</t>
  </si>
  <si>
    <t>Type, unit 2</t>
  </si>
  <si>
    <t>MCF, unit 1</t>
  </si>
  <si>
    <t>MCF_k</t>
  </si>
  <si>
    <t>Sections 8.7.1, 8.8.1(a)</t>
  </si>
  <si>
    <t>MCF, unit 2</t>
  </si>
  <si>
    <t>N2O factor, unit 1</t>
  </si>
  <si>
    <t>Sections 8.7.1, 8.8.1(b)</t>
  </si>
  <si>
    <t>N2O factor, unit 2</t>
  </si>
  <si>
    <t>Digestate stored before use (anaerobic digestion only)</t>
  </si>
  <si>
    <t>No</t>
  </si>
  <si>
    <t>Share of treated product disposed of to land, not supplied as a fertiliser or soil improver meeting SASS 11</t>
  </si>
  <si>
    <t>Part D. Equipment and infrastructure for embodied emissions (Annex A2.5; Section 9.2.3)</t>
  </si>
  <si>
    <t>Item 1</t>
  </si>
  <si>
    <t>Item 2</t>
  </si>
  <si>
    <t>Item 3</t>
  </si>
  <si>
    <t>Item 4</t>
  </si>
  <si>
    <t>Item 5</t>
  </si>
  <si>
    <t>Item 6</t>
  </si>
  <si>
    <t>Item 7</t>
  </si>
  <si>
    <t>Item 8</t>
  </si>
  <si>
    <t>Item description</t>
  </si>
  <si>
    <t>CBS containers, batch 1</t>
  </si>
  <si>
    <t>CBS containers, batch 2</t>
  </si>
  <si>
    <t>CBS containers, batch 3</t>
  </si>
  <si>
    <t>CBS containers, batch 4</t>
  </si>
  <si>
    <t>Transfer kiosks (blockwork)</t>
  </si>
  <si>
    <t>Transfer kiosk roofs (steel sheet)</t>
  </si>
  <si>
    <t>Composting site slab and drains</t>
  </si>
  <si>
    <t>Composting sheds</t>
  </si>
  <si>
    <t>Tier</t>
  </si>
  <si>
    <t>Section 9.2.3</t>
  </si>
  <si>
    <t>Tier 1</t>
  </si>
  <si>
    <t>Tier 2</t>
  </si>
  <si>
    <t>Tier 3</t>
  </si>
  <si>
    <t>Material or equipment default</t>
  </si>
  <si>
    <t>m</t>
  </si>
  <si>
    <t>Annex A2.5; SASS 20</t>
  </si>
  <si>
    <t>CBS receptacle (HDPE), per kg</t>
  </si>
  <si>
    <t>Plain concrete/blockwork</t>
  </si>
  <si>
    <t>Steel, structural/sheet</t>
  </si>
  <si>
    <t>Reinforced concrete</t>
  </si>
  <si>
    <t>Factor from an EPD or ISO 14040/14044 life cycle assessment (optional)</t>
  </si>
  <si>
    <t>kg CO2e/kg</t>
  </si>
  <si>
    <t>Annex A2.5.2</t>
  </si>
  <si>
    <t>Embodied emission factor applied</t>
  </si>
  <si>
    <t>EF_emb,m</t>
  </si>
  <si>
    <t>Mass per unit (enter 1 for a per-unit default)</t>
  </si>
  <si>
    <t>M_m,i</t>
  </si>
  <si>
    <t>kg</t>
  </si>
  <si>
    <t>Number of units</t>
  </si>
  <si>
    <t>units</t>
  </si>
  <si>
    <t>Total embodied emissions</t>
  </si>
  <si>
    <t>Installed in operating year</t>
  </si>
  <si>
    <t>Replacement interval, Tier 1 only (0 = not replaced)</t>
  </si>
  <si>
    <t>Section 9.2.3(a)</t>
  </si>
  <si>
    <t>Amortisation period</t>
  </si>
  <si>
    <t>AM_i</t>
  </si>
  <si>
    <t>Installation date</t>
  </si>
  <si>
    <t>Part E. Annual calculation by monitoring period</t>
  </si>
  <si>
    <t>Total</t>
  </si>
  <si>
    <t>Calendar year (vintage)</t>
  </si>
  <si>
    <t>Crediting period</t>
  </si>
  <si>
    <t>Key information</t>
  </si>
  <si>
    <t>Five-year crediting periods, renewable twice; shown by monitoring year.</t>
  </si>
  <si>
    <t>Operating in this period (1 = yes)</t>
  </si>
  <si>
    <t>Period start</t>
  </si>
  <si>
    <t>Period end</t>
  </si>
  <si>
    <t>Days_y</t>
  </si>
  <si>
    <t>days</t>
  </si>
  <si>
    <t>Downward Adjustment Factor</t>
  </si>
  <si>
    <t>DAF basis</t>
  </si>
  <si>
    <t>Population served on the pathway (average over the period)</t>
  </si>
  <si>
    <t>P_i,y</t>
  </si>
  <si>
    <t>Average served population over the period (person-days ÷ days).</t>
  </si>
  <si>
    <t>Faecal sludge removed from pits remaining in use (wet basis)</t>
  </si>
  <si>
    <t>M_FS,i,y</t>
  </si>
  <si>
    <t>t</t>
  </si>
  <si>
    <t>Only for pit latrines emptied by the activity.</t>
  </si>
  <si>
    <t>Wet mass delivered to treatment (for Equation 9b)</t>
  </si>
  <si>
    <t>M_k,y</t>
  </si>
  <si>
    <t>Only where nitrogen content is measured (SASS 22).</t>
  </si>
  <si>
    <t>Fraction of the baseline organic load diverted</t>
  </si>
  <si>
    <t>Equation 1a; Section 7.3.6</t>
  </si>
  <si>
    <t>Unadjusted baseline emissions</t>
  </si>
  <si>
    <t>BE_unadj,i,y</t>
  </si>
  <si>
    <t>Uncertainty-adjusted baseline emissions</t>
  </si>
  <si>
    <t>BE_unc,i,y</t>
  </si>
  <si>
    <t>Methane from treatment unit 1</t>
  </si>
  <si>
    <t>AE (CH4)</t>
  </si>
  <si>
    <t>Equation 1 with MCF_k; Sections 8.7.1, 8.8.1(a)</t>
  </si>
  <si>
    <t>Methane from treatment unit 2</t>
  </si>
  <si>
    <t>Nitrous oxide from treatment unit 1</t>
  </si>
  <si>
    <t>E_N2O,k,y</t>
  </si>
  <si>
    <t>Equation 9a; Sections 8.7.1, 8.8.1(b)</t>
  </si>
  <si>
    <t>Nitrous oxide from treatment unit 2</t>
  </si>
  <si>
    <t>Nitrous oxide from product disposed of to land</t>
  </si>
  <si>
    <t>Equation 9a; Section 9.2.2(a)</t>
  </si>
  <si>
    <t>Nitrous oxide from digestate storage</t>
  </si>
  <si>
    <t>Stratum contribution before shared activity emissions and leakage (information)</t>
  </si>
  <si>
    <t>Equations 2–6 less stratum treatment emissions</t>
  </si>
  <si>
    <t>Credited baseline of the stratum less its treatment-unit, storage and land-application emissions; excludes TOOL13/TOOL14 entries, energy, transport and embodied emissions.</t>
  </si>
  <si>
    <t>Baseline and crediting baseline</t>
  </si>
  <si>
    <t>BE_unadj,y</t>
  </si>
  <si>
    <t>BE_unc,y</t>
  </si>
  <si>
    <t>Ambition-adjusted baseline emissions</t>
  </si>
  <si>
    <t>BE_adj,y</t>
  </si>
  <si>
    <t>Conservative business-as-usual emissions</t>
  </si>
  <si>
    <t>BAU_y</t>
  </si>
  <si>
    <t>Crediting baseline before the safe-management adjustment</t>
  </si>
  <si>
    <t>BE_min,y</t>
  </si>
  <si>
    <t>OF_y</t>
  </si>
  <si>
    <t>From the Operational Fraction survey at 90/10 (see Helpers, H1).</t>
  </si>
  <si>
    <t>CC_y</t>
  </si>
  <si>
    <t>From the chain-of-custody mass balance, including the 14-day storage rule (see Helpers, H2).</t>
  </si>
  <si>
    <t>Crediting baseline emissions</t>
  </si>
  <si>
    <t>BE_y</t>
  </si>
  <si>
    <t>Host-Party mitigation contribution (BAU less crediting baseline)</t>
  </si>
  <si>
    <t>Δ_y</t>
  </si>
  <si>
    <t>Activity emissions</t>
  </si>
  <si>
    <t>Electricity consumed for treatment operation</t>
  </si>
  <si>
    <t>MWh</t>
  </si>
  <si>
    <t>Metered or billed data.</t>
  </si>
  <si>
    <t>Emissions from electricity</t>
  </si>
  <si>
    <t>AE_op,elec,y</t>
  </si>
  <si>
    <t>Equation 9; Sections 8.3.2, 8.3.3</t>
  </si>
  <si>
    <t>Fossil fuel consumed for treatment operation</t>
  </si>
  <si>
    <t>litres</t>
  </si>
  <si>
    <t>Emissions from fossil fuel</t>
  </si>
  <si>
    <t>AE_op,fuel,y</t>
  </si>
  <si>
    <t>Equation 9; GS4GG Tool 01</t>
  </si>
  <si>
    <t>Emissions from process operations</t>
  </si>
  <si>
    <t>AE_op,y</t>
  </si>
  <si>
    <t>Fossil fuel consumed for emptying and transport</t>
  </si>
  <si>
    <t>Emissions from emptying and transport</t>
  </si>
  <si>
    <t>AE_trans,y</t>
  </si>
  <si>
    <t>Section 8.4; GS4GG Tool 02</t>
  </si>
  <si>
    <t>Emissions from composting: CDM TOOL13 result</t>
  </si>
  <si>
    <t>AE_comp,y</t>
  </si>
  <si>
    <t>Section 8.5</t>
  </si>
  <si>
    <t>Illustrative: dry faeces composted (29 g per person per day; Rose et al., 2015) × IPCC 2006 Vol 5 Ch 4 Table 4.1 dry-weight composting factors (10 g CH4 and 0.6 g N2O per kg). Replace with the CDM TOOL13 result.</t>
  </si>
  <si>
    <t>Emissions from anaerobic digestion: CDM TOOL14 result</t>
  </si>
  <si>
    <t>AE_biogas,y</t>
  </si>
  <si>
    <t>Section 8.6</t>
  </si>
  <si>
    <t>Enter the CDM TOOL14 result; the tool governs.</t>
  </si>
  <si>
    <t>Emissions from faecal sludge treatment (CH4 and N2O)</t>
  </si>
  <si>
    <t>AE_fst,y</t>
  </si>
  <si>
    <t>Section 8.8</t>
  </si>
  <si>
    <t>Emissions from decentralised wastewater treatment (CH4 and N2O)</t>
  </si>
  <si>
    <t>AE_ww,y</t>
  </si>
  <si>
    <t>Treated effluent discharged</t>
  </si>
  <si>
    <t>m³</t>
  </si>
  <si>
    <t>Only where effluent is discharged to the environment.</t>
  </si>
  <si>
    <t>BOD of treated effluent, upper bound of the 90% confidence interval</t>
  </si>
  <si>
    <t>kg BOD/m³</t>
  </si>
  <si>
    <t>Methane from residual BOD in effluent</t>
  </si>
  <si>
    <t>Nitrous oxide from effluent, where applicable</t>
  </si>
  <si>
    <t>Emissions from effluent discharge</t>
  </si>
  <si>
    <t>AE_eff,y</t>
  </si>
  <si>
    <t>Total activity emissions</t>
  </si>
  <si>
    <t>AE_y</t>
  </si>
  <si>
    <t>Leakage emissions</t>
  </si>
  <si>
    <t>Amortised to termination</t>
  </si>
  <si>
    <t>Remaining at termination</t>
  </si>
  <si>
    <t>Embodied (life-cycle) emissions</t>
  </si>
  <si>
    <t>LE_embodied,y</t>
  </si>
  <si>
    <t>Annex A2.5.4; Section 9.2.1</t>
  </si>
  <si>
    <t>Tier 1 deducted in full on deployment; Tiers 2 and 3 annualised over five years.</t>
  </si>
  <si>
    <t>Market and behavioural leakage</t>
  </si>
  <si>
    <t>LE_market,y</t>
  </si>
  <si>
    <t>Section 9.2.2(b)</t>
  </si>
  <si>
    <t>Informal dumping is reflected in the Collection Compliance Factor; no separate deduction (Section 9.2.2(b)).</t>
  </si>
  <si>
    <t>Methane from digestate in a disposal site or anaerobic storage: CDM TOOL14</t>
  </si>
  <si>
    <t>Process leakage</t>
  </si>
  <si>
    <t>LE_proc,y</t>
  </si>
  <si>
    <t>Total leakage emissions</t>
  </si>
  <si>
    <t>LE_y</t>
  </si>
  <si>
    <t>Net emission reductions</t>
  </si>
  <si>
    <t>ER_y</t>
  </si>
  <si>
    <t>Emission reductions claimed</t>
  </si>
  <si>
    <t>Section 10.1.2</t>
  </si>
  <si>
    <t>Note</t>
  </si>
  <si>
    <t>Cumulative emission reductions claimed</t>
  </si>
  <si>
    <t>Emission reductions claimed by crediting period</t>
  </si>
  <si>
    <t>Crediting period 1 (operating years 1 to 5)</t>
  </si>
  <si>
    <t>Crediting period 2 (operating years 6 to 10)</t>
  </si>
  <si>
    <t>Crediting period 3 (operating years 11 to 15)</t>
  </si>
  <si>
    <t>Scenario 2: pit latrine service with replacement and emptying (Ghana, 100,000 persons)</t>
  </si>
  <si>
    <t>A pit latrine service in a high water-table city. Wet pits and shared pits are decommissioned and the households move to container-based toilets, whose waste is co-composted; the whole baseline load is diverted. Households that keep their pits have them emptied by the activity and the sludge is treated on drying beds; only the organic load removed is diverted (Equation 1a). Demonstrates where pit-related credits arise: from replacement, not from emptying alone.</t>
  </si>
  <si>
    <t>Motorised, fossil fuel</t>
  </si>
  <si>
    <t>Complete only where a stratum is suppressed demand.</t>
  </si>
  <si>
    <t>Not computed (0.57)</t>
  </si>
  <si>
    <t>Wet pit latrines decommissioned; households moved to CBS</t>
  </si>
  <si>
    <t>Shared dry pits (10 persons per pit) decommissioned; CBS</t>
  </si>
  <si>
    <t>Wet pit latrines remaining in use, emptied by the activity</t>
  </si>
  <si>
    <t>Household dry pits remaining in use, emptied by the activity</t>
  </si>
  <si>
    <t>Dry pit latrine, &gt; 5 persons per pit</t>
  </si>
  <si>
    <t>Pit latrine emptied by the activity</t>
  </si>
  <si>
    <t>Drying beds</t>
  </si>
  <si>
    <t>Composting site (reinforced concrete)</t>
  </si>
  <si>
    <t>Drying beds (reinforced concrete)</t>
  </si>
  <si>
    <t>Vacuum trucks</t>
  </si>
  <si>
    <t>CBS transfer trucks</t>
  </si>
  <si>
    <t>Illustrative: 0.15 t per person per year from wet pits and 0.08 t from dry pits (as pumped).</t>
  </si>
  <si>
    <t>Illustrative: vacuum trucks 6 t per trip, 24 km round trip; CBS transfer 8 t per trip, 30 km; 0.33 litres per km.</t>
  </si>
  <si>
    <t>Scenario 2M: pit latrine service as Scenario 2, with measured values (Ghana, 100,000 persons)</t>
  </si>
  <si>
    <t>Scenario 2 with illustrative measured values in place of defaults: BOD per capita and its uncertainty (Section 7.8), the methane conversion factor and its downside for pits (Sections 7.3.7 and 7.8), the organic content of sludge removed from pits that stay in use (Section 7.3.6(c), SASS 21) and the nitrogen content of sludge delivered to the drying beds (Section 8.8.3, SASS 22). Measured nitrogen raises the drying-bed nitrous oxide: measurement cuts both ways.</t>
  </si>
  <si>
    <t>Substantiated (Section 7.8)</t>
  </si>
  <si>
    <t>From measured uncertainties</t>
  </si>
  <si>
    <t>Scenario 3: septic tank emptying with anaerobic digestion (India, 250,000 persons)</t>
  </si>
  <si>
    <t>A city scheduled-desludging service empties septic tanks that remain in use and treats the septage in an anaerobic digester. Some tanks were already emptied informally in the baseline, with the sludge discharged to drains (Section 7.3.6(b)). Digestate is stored, then supplied as a soil improver, with 20% disposed of to land. Runs 15 years (three crediting periods) with the DAF carried forward after 2030. Demonstrates the septic removal fraction, the baseline disposal route, CDM TOOL14 entries, digestate storage and land-application nitrous oxide, the calculated electricity factor and fleet replacement.</t>
  </si>
  <si>
    <t>India</t>
  </si>
  <si>
    <t>A6.4-AMT-007 calculated</t>
  </si>
  <si>
    <t>Illustrative calculated value; replace with the result of A6.4-AMT-007 with GS4GG PAA MT400-10.</t>
  </si>
  <si>
    <t>Illustrative; enter the factor for the storage system from IPCC 2019 Refinement, Volume 4, Chapter 10, Table 10.21.</t>
  </si>
  <si>
    <t>Septic tanks, emptied by the activity</t>
  </si>
  <si>
    <t>Septic tanks emptied informally in the baseline (sludge to drains)</t>
  </si>
  <si>
    <t>Septic tank emptied by the activity</t>
  </si>
  <si>
    <t>Emptied: discharged to water</t>
  </si>
  <si>
    <t>Anaerobic digestion (CDM TOOL14)</t>
  </si>
  <si>
    <t>Yes</t>
  </si>
  <si>
    <t>Anaerobic digesters (reinforced concrete)</t>
  </si>
  <si>
    <t>Gas holders and steelwork</t>
  </si>
  <si>
    <t>Vacuum trucks, initial fleet</t>
  </si>
  <si>
    <t>Vacuum trucks, added</t>
  </si>
  <si>
    <t>Vacuum trucks, replacement fleet</t>
  </si>
  <si>
    <t>Plant pipework (HDPE)</t>
  </si>
  <si>
    <t>HDPE/LDPE</t>
  </si>
  <si>
    <t>Illustrative: 8 t per trip, 30 km round trip, 0.33 litres per km.</t>
  </si>
  <si>
    <t>Enter the CDM TOOL13 result; the tool governs.</t>
  </si>
  <si>
    <t>Illustrative: septage solids (0.25 t per person per year at 0.9% total solids; Bassan et al., 2013) × IPCC 2006 Vol 5 Ch 4 Table 4.1 dry-weight factor for anaerobic digestion at biogas facilities (2 g CH4 per kg). Replace with the CDM TOOL14 result.</t>
  </si>
  <si>
    <t>Scenario 4: mixed urban pathways (India, 300,000 persons)</t>
  </si>
  <si>
    <t>A city-wide service: container-based sanitation with co-composting for households without basic sanitation and for households whose wet pits and shared pits are decommissioned; septic tank emptying with mechanical dewatering and co-composting of the septage; and decentralised aerobic treatment for a sewered area whose sewer discharged untreated. Under the default values the sewered stratum is net negative (UAF 0.31 and treatment nitrous oxide); Scenario 4M shows the effect of measurement. Twelve operating years.</t>
  </si>
  <si>
    <t>Open defecation or unimproved (suppressed demand), CBS</t>
  </si>
  <si>
    <t>Septic tanks emptied; mechanical dewatering and co-composting</t>
  </si>
  <si>
    <t>Sewered area, sewer discharging untreated; aerobic treatment</t>
  </si>
  <si>
    <t>Sewered, untreated: stagnant sewer + discharge</t>
  </si>
  <si>
    <t>Mechanical dewatering (press)</t>
  </si>
  <si>
    <t>WW: centralised aerobic plant</t>
  </si>
  <si>
    <t>FS dewatering and composting works (RC)</t>
  </si>
  <si>
    <t>Wastewater treatment plant (RC)</t>
  </si>
  <si>
    <t>Dewatering presses</t>
  </si>
  <si>
    <t>Vacuum and transfer trucks</t>
  </si>
  <si>
    <t>Plant pipework (PVC)</t>
  </si>
  <si>
    <t>Stainless steel 304</t>
  </si>
  <si>
    <t>PVC</t>
  </si>
  <si>
    <t>Illustrative: vacuum trucks 6 t per trip, 20 km; CBS transfer 8 t per trip, 25 km; 0.33 litres per km.</t>
  </si>
  <si>
    <t>Illustrative: dry faeces (29 g per person per day; Rose et al., 2015) and septage solids (0.25 t per person per year at 0.9% total solids; Bassan et al., 2013) × IPCC 2006 Table 4.1 dry-weight composting factors. Replace with the CDM TOOL13 result.</t>
  </si>
  <si>
    <t>Illustrative: 100 litres per person per day; effluent BOD at the upper 90% bound of measurements.</t>
  </si>
  <si>
    <t>Scenario 4M: mixed urban pathways as Scenario 4, with measured values (India, 300,000 persons)</t>
  </si>
  <si>
    <t>Scenario 4 with illustrative measured values: the methane conversion factors and their downsides for wet pits, septic tanks, shared pits and the untreated sewer discharge (Sections 7.3.7 and 7.8), the UAF computed on the suppressed-demand counterfactual mix, and an electricity factor calculated under A6.4-AMT-007. Measuring the discharge uncertainty lifts the sewered UAF from 0.31 to about 0.68 and turns that stratum positive.</t>
  </si>
  <si>
    <t>Scenario 5: refugee camp and host community (displacement setting, 36,000 persons)</t>
  </si>
  <si>
    <t>A sanitation service in a refugee camp and its host community, implemented with the written agreement of the authority administering the camp (Section 3.2.9). Communal pit latrines and household pits are decommissioned and residents move to container-based toilets; communal latrines that remain in use are desludged; residents still practising open defecation are baselined on the household-scale facilities of the settlement itself (Section 7.3.5(a)(i)); host-community septic tanks are emptied. The served population follows the camp registration records, falling with repatriation, and the camp is consolidated at the end of operating year 8, so the unamortised embodied emissions are deducted in that year (Sections 3.2.9(f) and 9.2.4).</t>
  </si>
  <si>
    <t>Section 7.3.5(a)(i): in a displacement setting the applicable geographic area is the settlement. Illustrative: the only household-scale basic service in this camp is the small-family dry pit.</t>
  </si>
  <si>
    <t>Camp: communal pit latrines (20 persons per pit) decommissioned; CBS</t>
  </si>
  <si>
    <t>Camp: communal latrines remaining in use, desludged by the activity</t>
  </si>
  <si>
    <t>Camp: household pit latrines decommissioned; CBS</t>
  </si>
  <si>
    <t>Camp: open defecation, baselined on the settlement mix (Section 7.3.5(a)(i))</t>
  </si>
  <si>
    <t>Host community: septic tanks emptied; dewatering and co-composting</t>
  </si>
  <si>
    <t>Shared CBS toilet cabins (steel sheet)</t>
  </si>
  <si>
    <t>Dewatering press</t>
  </si>
  <si>
    <t>Replacement vacuum truck</t>
  </si>
  <si>
    <t>Illustrative: 0.08 t per person per year from communal dry pits (as pumped).</t>
  </si>
  <si>
    <t>Illustrative: vacuum trucks 6 t per trip, 20 km; CBS transfer 8 t per trip, 15 km; 0.33 litres per km.</t>
  </si>
  <si>
    <t>Helpers: worked monitoring calculations</t>
  </si>
  <si>
    <t>Each block shows how a monitored value is determined before it is entered in a scenario sheet. Inputs are illustrative.</t>
  </si>
  <si>
    <t>H1. Operational Fraction from a field survey (SASS 8; Sections 7.7 and 14.5)</t>
  </si>
  <si>
    <t>Example A</t>
  </si>
  <si>
    <t>Example B</t>
  </si>
  <si>
    <t>Units in the sample frame (all units on record)</t>
  </si>
  <si>
    <t>Includes units not located or refused (Section 14.5.3).</t>
  </si>
  <si>
    <t>Units sampled</t>
  </si>
  <si>
    <t>Sampled units beyond technical lifetime without replacement</t>
  </si>
  <si>
    <t>Counted as non-operational (Section 7.7).</t>
  </si>
  <si>
    <t>Sampled units found operational and in use (excluding the above)</t>
  </si>
  <si>
    <t>Units not located or refused are coded 0.</t>
  </si>
  <si>
    <t>Sample proportion operational</t>
  </si>
  <si>
    <t>Standard error, with finite population correction</t>
  </si>
  <si>
    <t>Relative precision at 90% confidence (1.645 × SE ÷ proportion)</t>
  </si>
  <si>
    <t>90/10 target: 10% or better.</t>
  </si>
  <si>
    <t>90/10 precision achieved?</t>
  </si>
  <si>
    <t>Operational Fraction to apply</t>
  </si>
  <si>
    <t>Where precision is not met, the lower bound of the one-sided 90% confidence interval applies.</t>
  </si>
  <si>
    <t>H2. Collection Compliance Factor from the chain-of-custody mass balance (SASS 9; Section 8.9; SASS 11)</t>
  </si>
  <si>
    <t>Sanitation waste removed from containment (emptying or collection logs)</t>
  </si>
  <si>
    <t>Received at the treatment facility (weighbridge or gauged intake)</t>
  </si>
  <si>
    <t>Of which held in containers or storage for more than 14 days before collection</t>
  </si>
  <si>
    <t>Treated as not safely collected (Section 8.9).</t>
  </si>
  <si>
    <t>Of which in batches failing SASS 11 and neither re-treated nor lawfully disposed of</t>
  </si>
  <si>
    <t>No emission reductions for this waste (SASS 11).</t>
  </si>
  <si>
    <t>Each loss is counted once, here and not as leakage (SASS 9 hierarchy).</t>
  </si>
  <si>
    <t>H3. Missing data: Collection Compliance Factor for a month that cannot be quantified (Section 14.4.2)</t>
  </si>
  <si>
    <t>Month</t>
  </si>
  <si>
    <t>CC recorded</t>
  </si>
  <si>
    <t>Preceding month 12</t>
  </si>
  <si>
    <t>Preceding month 11</t>
  </si>
  <si>
    <t>Preceding month 10</t>
  </si>
  <si>
    <t>Preceding month 9</t>
  </si>
  <si>
    <t>Preceding month 8</t>
  </si>
  <si>
    <t>Preceding month 7</t>
  </si>
  <si>
    <t>Preceding month 6</t>
  </si>
  <si>
    <t>Preceding month 5</t>
  </si>
  <si>
    <t>Preceding month 4</t>
  </si>
  <si>
    <t>Preceding month 3</t>
  </si>
  <si>
    <t>Preceding month 2</t>
  </si>
  <si>
    <t>Preceding month 1</t>
  </si>
  <si>
    <t>Month with missing data: value to apply</t>
  </si>
  <si>
    <t>Lowest value in the preceding 12 months; zero where none was recorded. A gap is never filled with an average.</t>
  </si>
  <si>
    <t>H4. Uncertainty Adjustment Factor from substantiated uncertainties (Sections 7.3.7 and 7.8; Annex A2.6)</t>
  </si>
  <si>
    <t>Uncertainty of B0 at 95% confidence</t>
  </si>
  <si>
    <t>Default 30% unless substantiated.</t>
  </si>
  <si>
    <t>Uncertainty of BOD per capita at 95% confidence (measured)</t>
  </si>
  <si>
    <t>Not lower than the precision demonstrated by the sampling design.</t>
  </si>
  <si>
    <t>Lower bound of the MCF at 95% confidence</t>
  </si>
  <si>
    <t>Downside arm only.</t>
  </si>
  <si>
    <t>Relative MCF downside</t>
  </si>
  <si>
    <t>Combined uncertainty (root sum of squares)</t>
  </si>
  <si>
    <t>Uncertainty Adjustment Factor</t>
  </si>
  <si>
    <t>One-sided 90% lower bound: 1 − 0.6541 × combined uncertainty.</t>
  </si>
  <si>
    <t>H5. Substantiated BOD per capita (Annex A2.2)</t>
  </si>
  <si>
    <t>Regional default</t>
  </si>
  <si>
    <t>Africa (Table 6.4).</t>
  </si>
  <si>
    <t>IPCC range for the region, lower</t>
  </si>
  <si>
    <t>Africa: 35 to 45 g per person per day.</t>
  </si>
  <si>
    <t>IPCC range for the region, upper</t>
  </si>
  <si>
    <t>Measured mean</t>
  </si>
  <si>
    <t>Composite sampling, accredited laboratory.</t>
  </si>
  <si>
    <t>Standard deviation of measurements</t>
  </si>
  <si>
    <t>Number of sampling events</t>
  </si>
  <si>
    <t>events</t>
  </si>
  <si>
    <t>Lower bound of the 90% confidence interval</t>
  </si>
  <si>
    <t>Value before the cap</t>
  </si>
  <si>
    <t>Above the IPCC range: the lower bound of the 90% interval applies; within or below it: the measured value.</t>
  </si>
  <si>
    <t>BOD per capita to apply</t>
  </si>
  <si>
    <t>No value above 150% of the regional default.</t>
  </si>
  <si>
    <t>H6. True-up of unamortised embodied emissions on termination (Section 9.2.4; Annex A2.5.4)</t>
  </si>
  <si>
    <t>Total embodied emissions of a Tier 3 item</t>
  </si>
  <si>
    <t>From Part D of a scenario sheet.</t>
  </si>
  <si>
    <t>Section 9.2.3: five years.</t>
  </si>
  <si>
    <t>Last day of the final monitoring period (termination)</t>
  </si>
  <si>
    <t>Days amortised to termination</t>
  </si>
  <si>
    <t>Embodied emissions already deducted</t>
  </si>
  <si>
    <t>Annex A2.5.4, amortised by days.</t>
  </si>
  <si>
    <t>True-up deducted in the final issuance request</t>
  </si>
  <si>
    <t>The unamortised remainder is deducted in full (Section 9.2.4).</t>
  </si>
  <si>
    <t>Checks: re-derivation of defaults, consistency tests and independent cross-check</t>
  </si>
  <si>
    <t>Overall result</t>
  </si>
  <si>
    <t>1. Methodology defaults re-derived from their sources</t>
  </si>
  <si>
    <t>Check</t>
  </si>
  <si>
    <t>Expected</t>
  </si>
  <si>
    <t>Calculated</t>
  </si>
  <si>
    <t>Tolerance</t>
  </si>
  <si>
    <t>Basis</t>
  </si>
  <si>
    <t>Conversion to a one-sided 90% bound, 1.282 ÷ 1.960</t>
  </si>
  <si>
    <t>Same, from exact normal quantiles (information: rounding of z gives 0.6541)</t>
  </si>
  <si>
    <t>Annex A2.6; standard normal distribution</t>
  </si>
  <si>
    <t>UAF re-derived, dry pit latrine, ≤ 5 persons per pit</t>
  </si>
  <si>
    <t>Section 7.4.1(a): root sum of squares of 30%, 30% and the MCF downside, × 0.6541</t>
  </si>
  <si>
    <t>UAF re-derived, septic tank</t>
  </si>
  <si>
    <t>UAF re-derived, dry pit latrine, &gt; 5 persons per pit</t>
  </si>
  <si>
    <t>UAF re-derived, stagnant sewer</t>
  </si>
  <si>
    <t>UAF re-derived, wet pit latrine</t>
  </si>
  <si>
    <t>UAF re-derived, discharge to aquatic environments</t>
  </si>
  <si>
    <t>Default BOD:COD ratio, 0.25 ÷ 0.6</t>
  </si>
  <si>
    <t>Annex A2.8</t>
  </si>
  <si>
    <t>Organic content of pit sludge: one-sided 90% lower bound of mean BOD5 (2,126 ± 1,480 mg/L, n = 48), rounded down</t>
  </si>
  <si>
    <t>SASS 15; Bassan et al. (2013), Table 2; density 1 kg/L</t>
  </si>
  <si>
    <t>Indicative gross baseline per 1,000 persons per year, dry pit, small family</t>
  </si>
  <si>
    <t>Annex A2.7 (BOD 0.037, B0 0.6, GWP 28)</t>
  </si>
  <si>
    <t>Indicative gross baseline per 1,000 persons per year, suppressed demand, mix 0.20</t>
  </si>
  <si>
    <t>Indicative gross baseline per 1,000 persons per year, communal dry pit or stagnant sewer</t>
  </si>
  <si>
    <t>Indicative gross baseline per 1,000 persons per year, septic tank</t>
  </si>
  <si>
    <t>Indicative gross baseline per 1,000 persons per year, wet pit latrine</t>
  </si>
  <si>
    <t>Suppressed-demand MCF where the weighted mix (0.60) exceeds the cap</t>
  </si>
  <si>
    <t>Section 7.3.5: MIN(0.5; mix) × (1 − 0.05)</t>
  </si>
  <si>
    <t>Diesel CO2 per litre at 0.845 kg/litre</t>
  </si>
  <si>
    <t>IPCC 2006 Vol 2 Ch 1 Tables 1.2 and 1.4, upper 95% limits</t>
  </si>
  <si>
    <t>2. Scenario results compared with an independent calculation (as supplied)</t>
  </si>
  <si>
    <t>Expected values come from a separate implementation of the methodology equations, written independently of this workbook, run on the scenario inputs as supplied. Once inputs are changed, these rows will show FAIL; that is expected and does not indicate an error.</t>
  </si>
  <si>
    <t>S1: MCF of stratum 1</t>
  </si>
  <si>
    <t>Independent Python calculation (Section 2 note)</t>
  </si>
  <si>
    <t>S1: UAF of stratum 1</t>
  </si>
  <si>
    <t>S1: Days in operating year 1</t>
  </si>
  <si>
    <t>S1: Unadjusted baseline emissions, operating period</t>
  </si>
  <si>
    <t>S1: Crediting baseline emissions, operating period</t>
  </si>
  <si>
    <t>S1: Host-Party mitigation contribution, operating period</t>
  </si>
  <si>
    <t>S1: Activity emissions, operating period</t>
  </si>
  <si>
    <t>S1: Leakage emissions, operating period</t>
  </si>
  <si>
    <t>S1: Emission reductions claimed, operating period</t>
  </si>
  <si>
    <t>S1: Emission reductions claimed, first 10 years</t>
  </si>
  <si>
    <t>S1: Net emission reductions, operating year 2</t>
  </si>
  <si>
    <t>S2: MCF of stratum 1</t>
  </si>
  <si>
    <t>S2: UAF of stratum 1</t>
  </si>
  <si>
    <t>S2: Days in operating year 1</t>
  </si>
  <si>
    <t>S2: Unadjusted baseline emissions, operating period</t>
  </si>
  <si>
    <t>S2: Crediting baseline emissions, operating period</t>
  </si>
  <si>
    <t>S2: Host-Party mitigation contribution, operating period</t>
  </si>
  <si>
    <t>S2: Activity emissions, operating period</t>
  </si>
  <si>
    <t>S2: Leakage emissions, operating period</t>
  </si>
  <si>
    <t>S2: Emission reductions claimed, operating period</t>
  </si>
  <si>
    <t>S2: Emission reductions claimed, first 10 years</t>
  </si>
  <si>
    <t>S2: Net emission reductions, operating year 2</t>
  </si>
  <si>
    <t>S2M: MCF of stratum 1</t>
  </si>
  <si>
    <t>S2M: UAF of stratum 1</t>
  </si>
  <si>
    <t>S2M: Days in operating year 1</t>
  </si>
  <si>
    <t>S2M: Unadjusted baseline emissions, operating period</t>
  </si>
  <si>
    <t>S2M: Crediting baseline emissions, operating period</t>
  </si>
  <si>
    <t>S2M: Host-Party mitigation contribution, operating period</t>
  </si>
  <si>
    <t>S2M: Activity emissions, operating period</t>
  </si>
  <si>
    <t>S2M: Leakage emissions, operating period</t>
  </si>
  <si>
    <t>S2M: Emission reductions claimed, operating period</t>
  </si>
  <si>
    <t>S2M: Emission reductions claimed, first 10 years</t>
  </si>
  <si>
    <t>S2M: Net emission reductions, operating year 2</t>
  </si>
  <si>
    <t>S3: MCF of stratum 1</t>
  </si>
  <si>
    <t>S3: UAF of stratum 1</t>
  </si>
  <si>
    <t>S3: Days in operating year 1</t>
  </si>
  <si>
    <t>S3: Unadjusted baseline emissions, operating period</t>
  </si>
  <si>
    <t>S3: Crediting baseline emissions, operating period</t>
  </si>
  <si>
    <t>S3: Host-Party mitigation contribution, operating period</t>
  </si>
  <si>
    <t>S3: Activity emissions, operating period</t>
  </si>
  <si>
    <t>S3: Leakage emissions, operating period</t>
  </si>
  <si>
    <t>S3: Emission reductions claimed, operating period</t>
  </si>
  <si>
    <t>S3: Emission reductions claimed, first 10 years</t>
  </si>
  <si>
    <t>S3: Net emission reductions, operating year 2</t>
  </si>
  <si>
    <t>S4: MCF of stratum 1</t>
  </si>
  <si>
    <t>S4: UAF of stratum 1</t>
  </si>
  <si>
    <t>S4: Days in operating year 1</t>
  </si>
  <si>
    <t>S4: Unadjusted baseline emissions, operating period</t>
  </si>
  <si>
    <t>S4: Crediting baseline emissions, operating period</t>
  </si>
  <si>
    <t>S4: Host-Party mitigation contribution, operating period</t>
  </si>
  <si>
    <t>S4: Activity emissions, operating period</t>
  </si>
  <si>
    <t>S4: Leakage emissions, operating period</t>
  </si>
  <si>
    <t>S4: Emission reductions claimed, operating period</t>
  </si>
  <si>
    <t>S4: Emission reductions claimed, first 10 years</t>
  </si>
  <si>
    <t>S4: Net emission reductions, operating year 2</t>
  </si>
  <si>
    <t>S4M: MCF of stratum 1</t>
  </si>
  <si>
    <t>S4M: UAF of stratum 1</t>
  </si>
  <si>
    <t>S4M: Days in operating year 1</t>
  </si>
  <si>
    <t>S4M: Unadjusted baseline emissions, operating period</t>
  </si>
  <si>
    <t>S4M: Crediting baseline emissions, operating period</t>
  </si>
  <si>
    <t>S4M: Host-Party mitigation contribution, operating period</t>
  </si>
  <si>
    <t>S4M: Activity emissions, operating period</t>
  </si>
  <si>
    <t>S4M: Leakage emissions, operating period</t>
  </si>
  <si>
    <t>S4M: Emission reductions claimed, operating period</t>
  </si>
  <si>
    <t>S4M: Emission reductions claimed, first 10 years</t>
  </si>
  <si>
    <t>S4M: Net emission reductions, operating year 2</t>
  </si>
  <si>
    <t>S5: MCF of stratum 1</t>
  </si>
  <si>
    <t>S5: UAF of stratum 1</t>
  </si>
  <si>
    <t>S5: Days in operating year 1</t>
  </si>
  <si>
    <t>S5: Unadjusted baseline emissions, operating period</t>
  </si>
  <si>
    <t>S5: Crediting baseline emissions, operating period</t>
  </si>
  <si>
    <t>S5: Host-Party mitigation contribution, operating period</t>
  </si>
  <si>
    <t>S5: Activity emissions, operating period</t>
  </si>
  <si>
    <t>S5: Leakage emissions, operating period</t>
  </si>
  <si>
    <t>S5: Emission reductions claimed, operating period</t>
  </si>
  <si>
    <t>S5: Emission reductions claimed, first 10 years</t>
  </si>
  <si>
    <t>S5: Net emission reductions, operating year 2</t>
  </si>
  <si>
    <t>S5: True-up in the termination year</t>
  </si>
  <si>
    <t>S3: Tier 3 embodied emissions fully amortised within the 15 operating years</t>
  </si>
  <si>
    <t>Annex A2.5.4: amortisation by days over 5 × 365 days</t>
  </si>
  <si>
    <t>3. Internal consistency (hold for any inputs)</t>
  </si>
  <si>
    <t>S1: no negative emission reductions claimed</t>
  </si>
  <si>
    <t>S1: crediting baseline before adjustment never exceeds BAU (Equation 5)</t>
  </si>
  <si>
    <t>Equations 4 and 5</t>
  </si>
  <si>
    <t>S1: host-Party contribution equals BAU less BE_min each period</t>
  </si>
  <si>
    <t>S1: Equation 11 balances over the operating period</t>
  </si>
  <si>
    <t>S1: Tier 2 and 3 embodied emissions deducted, with any true-up, do not exceed the totals installed</t>
  </si>
  <si>
    <t>Annex A2.5.4; Section 9.2.4</t>
  </si>
  <si>
    <t>S1: Equation 1 recomputed from the inputs, operating year 2</t>
  </si>
  <si>
    <t>Equations 1 and 1a written out independently</t>
  </si>
  <si>
    <t>S2: no negative emission reductions claimed</t>
  </si>
  <si>
    <t>S2: crediting baseline before adjustment never exceeds BAU (Equation 5)</t>
  </si>
  <si>
    <t>S2: host-Party contribution equals BAU less BE_min each period</t>
  </si>
  <si>
    <t>S2: Equation 11 balances over the operating period</t>
  </si>
  <si>
    <t>S2: Tier 2 and 3 embodied emissions deducted, with any true-up, do not exceed the totals installed</t>
  </si>
  <si>
    <t>S2: Equation 1 recomputed from the inputs, operating year 2</t>
  </si>
  <si>
    <t>S2M: no negative emission reductions claimed</t>
  </si>
  <si>
    <t>S2M: crediting baseline before adjustment never exceeds BAU (Equation 5)</t>
  </si>
  <si>
    <t>S2M: host-Party contribution equals BAU less BE_min each period</t>
  </si>
  <si>
    <t>S2M: Equation 11 balances over the operating period</t>
  </si>
  <si>
    <t>S2M: Tier 2 and 3 embodied emissions deducted, with any true-up, do not exceed the totals installed</t>
  </si>
  <si>
    <t>S2M: Equation 1 recomputed from the inputs, operating year 2</t>
  </si>
  <si>
    <t>S3: no negative emission reductions claimed</t>
  </si>
  <si>
    <t>S3: crediting baseline before adjustment never exceeds BAU (Equation 5)</t>
  </si>
  <si>
    <t>S3: host-Party contribution equals BAU less BE_min each period</t>
  </si>
  <si>
    <t>S3: Equation 11 balances over the operating period</t>
  </si>
  <si>
    <t>S3: Tier 2 and 3 embodied emissions deducted, with any true-up, do not exceed the totals installed</t>
  </si>
  <si>
    <t>S3: Equation 1 recomputed from the inputs, operating year 2</t>
  </si>
  <si>
    <t>S4: no negative emission reductions claimed</t>
  </si>
  <si>
    <t>S4: crediting baseline before adjustment never exceeds BAU (Equation 5)</t>
  </si>
  <si>
    <t>S4: host-Party contribution equals BAU less BE_min each period</t>
  </si>
  <si>
    <t>S4: Equation 11 balances over the operating period</t>
  </si>
  <si>
    <t>S4: Tier 2 and 3 embodied emissions deducted, with any true-up, do not exceed the totals installed</t>
  </si>
  <si>
    <t>S4: Equation 1 recomputed from the inputs, operating year 2</t>
  </si>
  <si>
    <t>S4M: no negative emission reductions claimed</t>
  </si>
  <si>
    <t>S4M: crediting baseline before adjustment never exceeds BAU (Equation 5)</t>
  </si>
  <si>
    <t>S4M: host-Party contribution equals BAU less BE_min each period</t>
  </si>
  <si>
    <t>S4M: Equation 11 balances over the operating period</t>
  </si>
  <si>
    <t>S4M: Tier 2 and 3 embodied emissions deducted, with any true-up, do not exceed the totals installed</t>
  </si>
  <si>
    <t>S4M: Equation 1 recomputed from the inputs, operating year 2</t>
  </si>
  <si>
    <t>S5: no negative emission reductions claimed</t>
  </si>
  <si>
    <t>S5: crediting baseline before adjustment never exceeds BAU (Equation 5)</t>
  </si>
  <si>
    <t>S5: host-Party contribution equals BAU less BE_min each period</t>
  </si>
  <si>
    <t>S5: Equation 11 balances over the operating period</t>
  </si>
  <si>
    <t>S5: Tier 2 and 3 embodied emissions deducted, with any true-up, do not exceed the totals installed</t>
  </si>
  <si>
    <t>S5: Equation 1 recomputed from the inputs, operating year 2</t>
  </si>
  <si>
    <t>Default values and constants (methodology Version 1.0, Annex 2, and cited sources)</t>
  </si>
  <si>
    <t>Blue values are fixed by the methodology or a cited source and change only if the methodology changes. Black values are calculated. Yellow cells are inputs that the activity developer may need to set (fuel densities and Table 6.8A factors). The methodology governs: where this sheet and the methodology differ, the methodology applies.</t>
  </si>
  <si>
    <t>1. Constants</t>
  </si>
  <si>
    <t>Source or basis</t>
  </si>
  <si>
    <t>SASS 2; Annex A2.1 (IPCC AR5, 100-year)</t>
  </si>
  <si>
    <t>Annex A2.1 (IPCC AR5, 100-year)</t>
  </si>
  <si>
    <t>Maximum methane-producing capacity (BOD basis)</t>
  </si>
  <si>
    <t>SASS 3; Annex A2.2; IPCC 2019 Refinement, Vol 5, Ch 6, Table 6.2</t>
  </si>
  <si>
    <t>Maximum methane-producing capacity (COD basis)</t>
  </si>
  <si>
    <t>B0,COD</t>
  </si>
  <si>
    <t>kg CH4/kg COD</t>
  </si>
  <si>
    <t>IPCC 2019 Refinement, Vol 5, Ch 6, Table 6.2; Annex A2.8</t>
  </si>
  <si>
    <t>Default BOD:COD ratio</t>
  </si>
  <si>
    <t>ratio</t>
  </si>
  <si>
    <t>Annex A2.8 (0.25 ÷ 0.6)</t>
  </si>
  <si>
    <t>Maximum substantiated BOD per capita, as a multiple of the default</t>
  </si>
  <si>
    <t>multiple</t>
  </si>
  <si>
    <t>Fraction of organic load removed from a septic tank emptied by the activity</t>
  </si>
  <si>
    <t>Section 7.3.6(a)(i); Annex A2.4; IPCC 2019 Refinement, Equation 6.3c</t>
  </si>
  <si>
    <t>Organic content of faecal sludge removed from pit latrines</t>
  </si>
  <si>
    <t>kg BOD/kg wet sludge</t>
  </si>
  <si>
    <t>SASS 15; Annex A2.4; Bassan et al. (2013); Heinss et al. (1998)</t>
  </si>
  <si>
    <t>Cap on the suppressed-demand methane conversion factor</t>
  </si>
  <si>
    <t>Suppressed-demand conservativeness deduction</t>
  </si>
  <si>
    <t>ADJ_SD</t>
  </si>
  <si>
    <t>Uncertainty Adjustment Factor where not computed</t>
  </si>
  <si>
    <t>SASS 13; Section 7.4.1(b)</t>
  </si>
  <si>
    <t>Uncertainty of B0 (95% confidence)</t>
  </si>
  <si>
    <t>Annex A2.6; IPCC 2019 Refinement, Vol 5, Ch 6, Table 6.7</t>
  </si>
  <si>
    <t>Uncertainty of BOD per capita (95% confidence)</t>
  </si>
  <si>
    <t>Standard normal value, one-sided 90%</t>
  </si>
  <si>
    <t>z</t>
  </si>
  <si>
    <t>-</t>
  </si>
  <si>
    <t>Standard normal value, two-sided 95%</t>
  </si>
  <si>
    <t>Conversion to a one-sided 90% lower bound</t>
  </si>
  <si>
    <t>Annex A2.6 (1.282 ÷ 1.960 = 0.6541)</t>
  </si>
  <si>
    <t>Default emission factor for electricity consumed</t>
  </si>
  <si>
    <t>SASS 16; Section 8.3.3; A6.4-AMT-007, Option B (section 5.7.2)</t>
  </si>
  <si>
    <t>Fraction of nitrogen in protein</t>
  </si>
  <si>
    <t>F_N</t>
  </si>
  <si>
    <t>kg N/kg protein</t>
  </si>
  <si>
    <t>SASS 17; 2006 IPCC Guidelines, Vol 5, Ch 6, Table 6.11</t>
  </si>
  <si>
    <t>Direct N2O emission factor for nitrogen applied to soils</t>
  </si>
  <si>
    <t>Section 9.2.2(a); IPCC 2019 Refinement, Vol 4, Ch 11, Table 11.1 (aggregated default)</t>
  </si>
  <si>
    <t>N2O emission factor, centralised wastewater treatment plants</t>
  </si>
  <si>
    <t>EF_N2O</t>
  </si>
  <si>
    <t>Section 8.8.1(b); IPCC 2019 Refinement, Vol 5, Ch 6, Table 6.8A (centralised plants)</t>
  </si>
  <si>
    <t>MCF of the receiving environment for effluent (aquatic, Tier 1)</t>
  </si>
  <si>
    <t>Section 8.7.1; Annex A2.3; IPCC 2019 Refinement, Vol 5, Ch 6, Table 6.3</t>
  </si>
  <si>
    <t>Maximum storage interval before collection</t>
  </si>
  <si>
    <t>Section 8.9; Annex A2.4</t>
  </si>
  <si>
    <t>Conversion of N2O-N to N2O</t>
  </si>
  <si>
    <t>Stoichiometry (44/28)</t>
  </si>
  <si>
    <t>2. Host-country values: BOD per capita (Table 6.4), protein supply and DAF</t>
  </si>
  <si>
    <t>Table 6.4 entry</t>
  </si>
  <si>
    <t>BOD per capita (kg/person/day)</t>
  </si>
  <si>
    <t>Protein supply 2023 (g/person/day)</t>
  </si>
  <si>
    <t>DAF 2026–2030 (MT400-05)</t>
  </si>
  <si>
    <t>Bangladesh</t>
  </si>
  <si>
    <t>Asia, Middle East and Latin America</t>
  </si>
  <si>
    <t>DAF: enter the MT400-05 value in the scenario sheet</t>
  </si>
  <si>
    <t>Brazil</t>
  </si>
  <si>
    <t>Brazil (country value)</t>
  </si>
  <si>
    <t>Burkina Faso</t>
  </si>
  <si>
    <t>Africa</t>
  </si>
  <si>
    <t>Cambodia</t>
  </si>
  <si>
    <t>Cameroon</t>
  </si>
  <si>
    <t>Côte d'Ivoire</t>
  </si>
  <si>
    <t>Egypt</t>
  </si>
  <si>
    <t>Egypt (country value)</t>
  </si>
  <si>
    <t>Ethiopia</t>
  </si>
  <si>
    <t>Haiti</t>
  </si>
  <si>
    <t>India (country value)</t>
  </si>
  <si>
    <t>Indonesia</t>
  </si>
  <si>
    <t>Kenya</t>
  </si>
  <si>
    <t>Liberia</t>
  </si>
  <si>
    <t>Madagascar</t>
  </si>
  <si>
    <t>Malawi</t>
  </si>
  <si>
    <t>Mozambique</t>
  </si>
  <si>
    <t>Myanmar</t>
  </si>
  <si>
    <t>Nepal</t>
  </si>
  <si>
    <t>Nigeria</t>
  </si>
  <si>
    <t>Pakistan</t>
  </si>
  <si>
    <t>Peru</t>
  </si>
  <si>
    <t>Philippines</t>
  </si>
  <si>
    <t>Rwanda</t>
  </si>
  <si>
    <t>Senegal</t>
  </si>
  <si>
    <t>Sierra Leone</t>
  </si>
  <si>
    <t>South Africa</t>
  </si>
  <si>
    <t>Sri Lanka</t>
  </si>
  <si>
    <t>Tanzania</t>
  </si>
  <si>
    <t>Uganda</t>
  </si>
  <si>
    <t>Viet Nam</t>
  </si>
  <si>
    <t>Zambia</t>
  </si>
  <si>
    <t>Zimbabwe</t>
  </si>
  <si>
    <t>BOD: IPCC 2019 Refinement, Vol 5, Ch 6, Table 6.4, the country value where the table gives one (Egypt, India, Brazil), otherwise the regional value (Annex A2.2; SASS 4). Protein supply: FAO Food Balances (2010–), 2023 values as processed by Our World in Data; the activity developer may enter a later FAOSTAT value (SASS 17). DAF: GS4GG PAA MT400-05, values for 2026–2030 (Ghana at the peer-group floor; India from its national net-zero target); other countries are entered from MT400-05 (SASS 12).</t>
  </si>
  <si>
    <t>3. Methane conversion factors and Uncertainty Adjustment Factors by baseline pathway</t>
  </si>
  <si>
    <t>Baseline pathway</t>
  </si>
  <si>
    <t>Upper bound</t>
  </si>
  <si>
    <t>Downside (fraction of MCF)</t>
  </si>
  <si>
    <t>UAF re-derived (Annex A2.6)</t>
  </si>
  <si>
    <t>UAF applied (Section 7.4.1)</t>
  </si>
  <si>
    <t>Source</t>
  </si>
  <si>
    <t>Open defecation, no facility (MCF 0)</t>
  </si>
  <si>
    <t>Annex A2.3; IPCC 2019 Refinement, Vol 5, Ch 6, Table 6.3; MCF 0, so the UAF has no effect</t>
  </si>
  <si>
    <t>Annex A2.3; IPCC 2019 Refinement, Vol 5, Ch 6, Table 6.3</t>
  </si>
  <si>
    <t>Stagnant sewer</t>
  </si>
  <si>
    <t>Discharge to aquatic environments</t>
  </si>
  <si>
    <t>Section 7.3.4: stagnant sewer plus discharge; UAF of sewered discharge (Section 7.4.1(b))</t>
  </si>
  <si>
    <t>Sewered, untreated: flowing sewer + discharge</t>
  </si>
  <si>
    <t>Section 7.3.4: flowing sewer plus discharge; UAF of sewered discharge (Section 7.4.1(b))</t>
  </si>
  <si>
    <t>Dry pit latrines are classified by persons served per pit (Section 7.3.4): the communal value applies only where more than five persons per pit are recorded in the survey. The MCF downside is taken on the downside arm of the Table 6.3 range only; the wet pit default sits at the floor of its range, so its downside is nil (Annex A2.6).</t>
  </si>
  <si>
    <t>4. Disposal route of sludge already emptied in the baseline (Section 7.3.6(b))</t>
  </si>
  <si>
    <t>Disposal route</t>
  </si>
  <si>
    <t>UAF applied</t>
  </si>
  <si>
    <t>Discharge to aquatic environments (Annex A2.3)</t>
  </si>
  <si>
    <t>Emptied: to stagnant sewer</t>
  </si>
  <si>
    <t>Stagnant sewer (Annex A2.3)</t>
  </si>
  <si>
    <t>Emptied: to flowing sewer</t>
  </si>
  <si>
    <t>Flowing sewer (Annex A2.3)</t>
  </si>
  <si>
    <t>Emptied: other route (no A2.3 value)</t>
  </si>
  <si>
    <t>No value in Annex A2.3 for the route: zero (Section 7.3.6(b))</t>
  </si>
  <si>
    <t>5. Treatment units: methane conversion factors and N2O emission factors (Sections 8.5 to 8.8)</t>
  </si>
  <si>
    <t>Treatment unit</t>
  </si>
  <si>
    <t>Type</t>
  </si>
  <si>
    <t>Table 6.8A factor for the system (where given)</t>
  </si>
  <si>
    <t>N2O factor applied</t>
  </si>
  <si>
    <t>NONE</t>
  </si>
  <si>
    <t>No treatment emissions in this stratum</t>
  </si>
  <si>
    <t>FST</t>
  </si>
  <si>
    <t>Section 8.8.1(a): 0.2 (Table 6.3 anaerobic shallow lagoon, no category for drying beds)</t>
  </si>
  <si>
    <t>Settling/thickening tank or pond &lt; 2 m</t>
  </si>
  <si>
    <t>Section 8.8.1(a): Table 6.3 anaerobic shallow lagoon (&lt; 2 m)</t>
  </si>
  <si>
    <t>Settling/thickening tank or pond ≥ 2 m</t>
  </si>
  <si>
    <t>Section 8.8.1(a): Table 6.3 anaerobic deep lagoon (≥ 2 m)</t>
  </si>
  <si>
    <t>COMP</t>
  </si>
  <si>
    <t>CH4 and N2O from CDM TOOL13, entered as AE_comp (Section 8.5)</t>
  </si>
  <si>
    <t>AD</t>
  </si>
  <si>
    <t>Leaks and flaring from CDM TOOL14, entered as AE_biogas (Section 8.6)</t>
  </si>
  <si>
    <t>WW</t>
  </si>
  <si>
    <t>Section 8.7.1: Table 6.3 centralised aerobic treatment plant, 0.034 (0.003–0.09)</t>
  </si>
  <si>
    <t>WW: anaerobic reactor</t>
  </si>
  <si>
    <t>Section 8.7.1: Table 6.3 anaerobic reactor, no methane recovery, 0.8 (0.8–1.0)</t>
  </si>
  <si>
    <t>WW: anaerobic shallow lagoon &lt; 2 m</t>
  </si>
  <si>
    <t>Section 8.7.1: Table 6.3 anaerobic shallow and facultative lagoons, 0.2 (0–0.3)</t>
  </si>
  <si>
    <t>WW: anaerobic deep lagoon ≥ 2 m</t>
  </si>
  <si>
    <t>Section 8.7.1: Table 6.3 anaerobic deep lagoon, 0.8 (0.8–1.0)</t>
  </si>
  <si>
    <t>Not a unit listed in Section 8.8.1 (no anaerobic zone); its electricity is accounted under Section 8.3</t>
  </si>
  <si>
    <t>N2O: Section 8.8.1(b) applies the Table 6.8A factor for the treatment system or, where the table gives no factor for the system, the default for centralised wastewater treatment plants. Column E is left blank, so 0.016 applies to every unit; enter the Table 6.8A value where the table gives one for the system. Methane: MCF values from Table 6.3 as cited. Composting and anaerobic digestion are quantified with CDM TOOL13 and TOOL14, whose results are entered in the scenario sheets.</t>
  </si>
  <si>
    <t>6. Fuels: simplified calculation for Sections 8.3 and 8.4 (GS4GG Methodology Tools 01 and 02 govern)</t>
  </si>
  <si>
    <t>Fuel</t>
  </si>
  <si>
    <t>Density (kg/litre)</t>
  </si>
  <si>
    <t>NCV, upper 95% (TJ/Gg)</t>
  </si>
  <si>
    <t>CO2 factor, upper 95% (kg CO2/TJ)</t>
  </si>
  <si>
    <t>kg CO2 per litre</t>
  </si>
  <si>
    <t>IPCC 2006, Vol 2, Ch 1, Tables 1.2 and 1.4, upper 95% limits (gas/diesel oil). Density illustrative: replace with the supplier specification.</t>
  </si>
  <si>
    <t>Petrol</t>
  </si>
  <si>
    <t>IPCC 2006, Vol 2, Ch 1, Tables 1.2 and 1.4, upper 95% limits (motor gasoline). Density illustrative: replace with the supplier specification.</t>
  </si>
  <si>
    <t>7. Embodied emission factors (Annex A2.5, Table A2.5-1 and equipment-level defaults)</t>
  </si>
  <si>
    <t>Material or equipment</t>
  </si>
  <si>
    <t>Lower</t>
  </si>
  <si>
    <t>Upper (applied)</t>
  </si>
  <si>
    <t>Unit basis</t>
  </si>
  <si>
    <t>kg CO2e per kg</t>
  </si>
  <si>
    <t>Upper bound applies unless supported by an EPD or life cycle assessment (Annex A2.5.2)</t>
  </si>
  <si>
    <t>Polypropylene</t>
  </si>
  <si>
    <t>GRP (fibreglass)</t>
  </si>
  <si>
    <t>Steel, rebar</t>
  </si>
  <si>
    <t>Cement CEM I</t>
  </si>
  <si>
    <t>Fired-clay brick</t>
  </si>
  <si>
    <t>Cast iron</t>
  </si>
  <si>
    <t>Aluminium</t>
  </si>
  <si>
    <t>kg CO2e per kg of container</t>
  </si>
  <si>
    <t>Biogas digester 8 m³, per unit</t>
  </si>
  <si>
    <t>kg CO2e per unit (enter mass 1)</t>
  </si>
  <si>
    <t>8. Reference only: values used for the illustrative TOOL13 and TOOL14 entries (not methodology defaults)</t>
  </si>
  <si>
    <t>Composting, methane (dry weight)</t>
  </si>
  <si>
    <t>g CH4/kg dry waste</t>
  </si>
  <si>
    <t>2006 IPCC Guidelines, Vol 5, Ch 4, Table 4.1 (dry weight)</t>
  </si>
  <si>
    <t>Composting, nitrous oxide (dry weight)</t>
  </si>
  <si>
    <t>g N2O/kg dry waste</t>
  </si>
  <si>
    <t>Anaerobic digestion at biogas facilities, methane (dry weight)</t>
  </si>
  <si>
    <t>2006 IPCC Guidelines, Vol 5, Ch 4, Table 4.1 (dry weight; accounts for methane recovery)</t>
  </si>
  <si>
    <t>Faeces, dry mass</t>
  </si>
  <si>
    <t>Rose et al. (2015), median of the reviewed studies (wet mass 128 g; 74.6% water)</t>
  </si>
  <si>
    <t>Septage removed per person served</t>
  </si>
  <si>
    <t>t/person/year</t>
  </si>
  <si>
    <t>Illustrative assumption</t>
  </si>
  <si>
    <t>Total solids of septage</t>
  </si>
  <si>
    <t>Bassan et al. (2013), septic tanks, 8,984 mg/L at 1 kg/L</t>
  </si>
  <si>
    <t>The IPCC wet-weight factors assume 60% moisture and overstate emissions from wetter material such as septage (about 99% water) and faeces (about 75% water); the dry-weight factors are applied to the dry mass. CDM TOOL13 and TOOL14 govern the terms they cover.</t>
  </si>
  <si>
    <t>Lists used by the drop-down selectors (do not edit unless the methodology changes)</t>
  </si>
  <si>
    <t>Containment emptied</t>
  </si>
  <si>
    <t>Baseline disposal route</t>
  </si>
  <si>
    <t>UAF basis (suppressed demand)</t>
  </si>
  <si>
    <t>BOD basis</t>
  </si>
  <si>
    <t>Electricity option</t>
  </si>
  <si>
    <t>Transport mode</t>
  </si>
  <si>
    <t>Embodied tier</t>
  </si>
  <si>
    <t>Yes/No</t>
  </si>
  <si>
    <t>Operating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</si>
</sst>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809]dd\ mmmm\ yyyy;@"/>
    <numFmt numFmtId="165" formatCode="0.000"/>
    <numFmt numFmtId="166" formatCode="0.0000"/>
    <numFmt numFmtId="167" formatCode="0.0%"/>
    <numFmt numFmtId="168" formatCode="#,##0.0"/>
    <numFmt numFmtId="169" formatCode="dd\ mmm\ yyyy"/>
    <numFmt numFmtId="170" formatCode="#,##0.0;[Red]\-#,##0.0"/>
  </numFmts>
  <fonts count="44">
    <font>
      <sz val="11"/>
      <color indexed="8"/>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u/>
      <sz val="11"/>
      <color theme="11"/>
      <name val="Calibri"/>
      <family val="2"/>
    </font>
    <font>
      <sz val="11"/>
      <color indexed="8"/>
      <name val="Verdana"/>
      <family val="2"/>
      <scheme val="minor"/>
    </font>
    <font>
      <b/>
      <sz val="11"/>
      <color indexed="8"/>
      <name val="Verdana"/>
      <family val="2"/>
      <scheme val="minor"/>
    </font>
    <font>
      <sz val="9"/>
      <color indexed="8"/>
      <name val="Verdana"/>
      <family val="2"/>
      <scheme val="minor"/>
    </font>
    <font>
      <b/>
      <sz val="12"/>
      <color theme="0"/>
      <name val="Verdana"/>
      <family val="2"/>
      <scheme val="minor"/>
    </font>
    <font>
      <sz val="12"/>
      <color indexed="8"/>
      <name val="Verdana"/>
      <family val="2"/>
      <scheme val="minor"/>
    </font>
    <font>
      <b/>
      <sz val="12"/>
      <color theme="3"/>
      <name val="Verdana"/>
      <family val="2"/>
      <scheme val="minor"/>
    </font>
    <font>
      <b/>
      <sz val="24"/>
      <color theme="4"/>
      <name val="Verdana"/>
      <family val="2"/>
      <scheme val="minor"/>
    </font>
    <font>
      <sz val="12"/>
      <color indexed="8"/>
      <name val="Verdana"/>
      <family val="2"/>
      <scheme val="minor"/>
    </font>
    <font>
      <b/>
      <sz val="12"/>
      <color indexed="8"/>
      <name val="Verdana"/>
      <family val="2"/>
      <scheme val="minor"/>
    </font>
    <font>
      <b/>
      <sz val="9"/>
      <color indexed="8"/>
      <name val="Verdana"/>
      <family val="2"/>
      <scheme val="minor"/>
    </font>
    <font>
      <b/>
      <sz val="14"/>
      <color rgb="FFFFFFFF"/>
      <name val="Verdana"/>
    </font>
    <font>
      <b/>
      <sz val="9"/>
      <color rgb="FF323232"/>
      <name val="Verdana"/>
    </font>
    <font>
      <sz val="9"/>
      <color rgb="FF000000"/>
      <name val="Verdana"/>
    </font>
    <font>
      <sz val="9"/>
      <color rgb="FF323232"/>
      <name val="Verdana"/>
    </font>
    <font>
      <b/>
      <sz val="10"/>
      <color rgb="FFFFFFFF"/>
      <name val="Verdana"/>
    </font>
    <font>
      <sz val="8"/>
      <color rgb="FF515151"/>
      <name val="Verdana"/>
    </font>
    <font>
      <sz val="9"/>
      <color rgb="FF0000FF"/>
      <name val="Verdana"/>
    </font>
    <font>
      <i/>
      <sz val="8"/>
      <color rgb="FF515151"/>
      <name val="Verdana"/>
    </font>
    <font>
      <sz val="8"/>
      <color rgb="FFA6A6A6"/>
      <name val="Verdana"/>
    </font>
    <font>
      <sz val="9"/>
      <color rgb="FF008000"/>
      <name val="Verdana"/>
    </font>
    <font>
      <b/>
      <sz val="9"/>
      <color rgb="FF000000"/>
      <name val="Verdana"/>
    </font>
    <font>
      <b/>
      <sz val="8"/>
      <color rgb="FFC00000"/>
      <name val="Verdana"/>
    </font>
    <font>
      <b/>
      <sz val="10"/>
      <color rgb="FF323232"/>
      <name val="Verdana"/>
    </font>
    <font>
      <sz val="10"/>
      <color rgb="FF323232"/>
      <name val="Verdana"/>
    </font>
    <font>
      <b/>
      <sz val="10"/>
      <color rgb="FF00B9BD"/>
      <name val="Verdana"/>
    </font>
  </fonts>
  <fills count="33">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bgColor indexed="64"/>
      </patternFill>
    </fill>
    <fill>
      <patternFill patternType="solid">
        <fgColor rgb="FF00B9BD"/>
        <bgColor rgb="FF00B9BD"/>
      </patternFill>
    </fill>
    <fill>
      <patternFill patternType="solid">
        <fgColor rgb="FFE6E5E5"/>
        <bgColor rgb="FFE6E5E5"/>
      </patternFill>
    </fill>
    <fill>
      <patternFill patternType="solid">
        <fgColor rgb="FF097E80"/>
        <bgColor rgb="FF097E80"/>
      </patternFill>
    </fill>
    <fill>
      <patternFill patternType="solid">
        <fgColor rgb="FFF2F2F2"/>
        <bgColor rgb="FFF2F2F2"/>
      </patternFill>
    </fill>
    <fill>
      <patternFill patternType="solid">
        <fgColor rgb="FFFFF2CC"/>
        <bgColor rgb="FFFFF2CC"/>
      </patternFill>
    </fill>
    <fill>
      <patternFill patternType="solid">
        <fgColor rgb="FFF3F6D2"/>
        <bgColor rgb="FFF3F6D2"/>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43">
    <xf numFmtId="0" fontId="0" fillId="0" borderId="0"/>
    <xf numFmtId="0" fontId="1" fillId="3" borderId="0"/>
    <xf numFmtId="0" fontId="1" fillId="4" borderId="0"/>
    <xf numFmtId="0" fontId="1" fillId="5" borderId="0"/>
    <xf numFmtId="0" fontId="1" fillId="6" borderId="0"/>
    <xf numFmtId="0" fontId="1" fillId="7" borderId="0"/>
    <xf numFmtId="0" fontId="1" fillId="8" borderId="0"/>
    <xf numFmtId="0" fontId="1" fillId="9" borderId="0"/>
    <xf numFmtId="0" fontId="1" fillId="10" borderId="0"/>
    <xf numFmtId="0" fontId="1" fillId="11" borderId="0"/>
    <xf numFmtId="0" fontId="1" fillId="6" borderId="0"/>
    <xf numFmtId="0" fontId="1" fillId="9" borderId="0"/>
    <xf numFmtId="0" fontId="1" fillId="12" borderId="0"/>
    <xf numFmtId="0" fontId="17" fillId="13" borderId="0"/>
    <xf numFmtId="0" fontId="17" fillId="10" borderId="0"/>
    <xf numFmtId="0" fontId="17" fillId="11" borderId="0"/>
    <xf numFmtId="0" fontId="17" fillId="14" borderId="0"/>
    <xf numFmtId="0" fontId="17" fillId="15" borderId="0"/>
    <xf numFmtId="0" fontId="17" fillId="16" borderId="0"/>
    <xf numFmtId="0" fontId="17" fillId="17" borderId="0"/>
    <xf numFmtId="0" fontId="17" fillId="18" borderId="0"/>
    <xf numFmtId="0" fontId="17" fillId="19" borderId="0"/>
    <xf numFmtId="0" fontId="17" fillId="14" borderId="0"/>
    <xf numFmtId="0" fontId="17" fillId="15" borderId="0"/>
    <xf numFmtId="0" fontId="17" fillId="20" borderId="0"/>
    <xf numFmtId="0" fontId="7" fillId="4" borderId="0"/>
    <xf numFmtId="0" fontId="11" fillId="21" borderId="1"/>
    <xf numFmtId="0" fontId="13" fillId="22" borderId="2"/>
    <xf numFmtId="0" fontId="15" fillId="0" borderId="0"/>
    <xf numFmtId="0" fontId="6" fillId="5" borderId="0"/>
    <xf numFmtId="0" fontId="3" fillId="0" borderId="3"/>
    <xf numFmtId="0" fontId="4" fillId="0" borderId="4"/>
    <xf numFmtId="0" fontId="5" fillId="0" borderId="5"/>
    <xf numFmtId="0" fontId="5" fillId="0" borderId="0"/>
    <xf numFmtId="0" fontId="9" fillId="8" borderId="1"/>
    <xf numFmtId="0" fontId="12" fillId="0" borderId="6"/>
    <xf numFmtId="0" fontId="8" fillId="23" borderId="0"/>
    <xf numFmtId="0" fontId="1" fillId="24" borderId="7"/>
    <xf numFmtId="0" fontId="10" fillId="21" borderId="8"/>
    <xf numFmtId="0" fontId="2" fillId="0" borderId="0"/>
    <xf numFmtId="0" fontId="16" fillId="0" borderId="9"/>
    <xf numFmtId="0" fontId="14" fillId="0" borderId="0"/>
    <xf numFmtId="0" fontId="18" fillId="0" borderId="0"/>
  </cellStyleXfs>
  <cellXfs count="100">
    <xf numFmtId="0" fontId="0" fillId="0" borderId="0" xfId="0"/>
    <xf numFmtId="0" fontId="19"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left" vertical="center" wrapText="1"/>
    </xf>
    <xf numFmtId="0" fontId="19" fillId="0" borderId="0" xfId="0" applyFont="1" applyAlignment="1">
      <alignment horizontal="left" vertical="center"/>
    </xf>
    <xf numFmtId="0" fontId="23" fillId="0" borderId="0" xfId="0" applyFont="1" applyAlignment="1">
      <alignment horizontal="left" vertical="center"/>
    </xf>
    <xf numFmtId="15" fontId="23" fillId="0" borderId="0" xfId="0" applyNumberFormat="1" applyFont="1" applyAlignment="1">
      <alignment horizontal="left" vertical="center" wrapText="1"/>
    </xf>
    <xf numFmtId="0" fontId="23" fillId="0" borderId="0" xfId="0" applyFont="1" applyAlignment="1">
      <alignment horizontal="left" vertical="center" wrapText="1"/>
    </xf>
    <xf numFmtId="0" fontId="22" fillId="26" borderId="10" xfId="0" applyFont="1" applyFill="1" applyBorder="1" applyAlignment="1">
      <alignment horizontal="left" vertical="center" wrapText="1"/>
    </xf>
    <xf numFmtId="0" fontId="20" fillId="0" borderId="0" xfId="0" applyFont="1" applyAlignment="1">
      <alignment horizontal="left" vertical="center"/>
    </xf>
    <xf numFmtId="0" fontId="19" fillId="2" borderId="0" xfId="0" applyFont="1" applyFill="1" applyAlignment="1">
      <alignment vertical="center"/>
    </xf>
    <xf numFmtId="0" fontId="22" fillId="25" borderId="0" xfId="0" applyFont="1" applyFill="1" applyAlignment="1">
      <alignment horizontal="left" vertical="center" wrapText="1"/>
    </xf>
    <xf numFmtId="0" fontId="23" fillId="25" borderId="0" xfId="0" applyFont="1" applyFill="1" applyAlignment="1">
      <alignment horizontal="left" vertical="center"/>
    </xf>
    <xf numFmtId="0" fontId="24" fillId="25" borderId="0" xfId="0" applyFont="1" applyFill="1" applyAlignment="1">
      <alignment horizontal="left" vertical="center"/>
    </xf>
    <xf numFmtId="0" fontId="25" fillId="2" borderId="0" xfId="0" applyFont="1" applyFill="1" applyAlignment="1">
      <alignment vertical="center"/>
    </xf>
    <xf numFmtId="0" fontId="26" fillId="0" borderId="0" xfId="0" applyFont="1" applyAlignment="1">
      <alignment horizontal="left" vertical="center" wrapText="1"/>
    </xf>
    <xf numFmtId="0" fontId="28" fillId="0" borderId="0" xfId="0" applyFont="1" applyAlignment="1">
      <alignment horizontal="left" vertical="center" wrapText="1"/>
    </xf>
    <xf numFmtId="164" fontId="27" fillId="0" borderId="0" xfId="0" applyNumberFormat="1" applyFont="1" applyAlignment="1">
      <alignment horizontal="left" vertical="center"/>
    </xf>
    <xf numFmtId="0" fontId="22" fillId="26" borderId="10" xfId="0" applyFont="1" applyFill="1" applyBorder="1" applyAlignment="1">
      <alignment horizontal="left" vertical="center" indent="1"/>
    </xf>
    <xf numFmtId="0" fontId="41" fillId="0" borderId="0" xfId="0" applyFont="1" applyAlignment="1">
      <alignment vertical="top"/>
    </xf>
    <xf numFmtId="0" fontId="33" fillId="29" borderId="0" xfId="0" applyFont="1" applyFill="1" applyAlignment="1">
      <alignment vertical="center" indent="1"/>
    </xf>
    <xf numFmtId="0" fontId="43" fillId="0" borderId="0" xfId="0" applyFont="1" applyAlignment="1">
      <alignment vertical="top" wrapText="1"/>
    </xf>
    <xf numFmtId="0" fontId="29" fillId="27" borderId="0" xfId="0" applyFont="1" applyFill="1" applyAlignment="1">
      <alignment horizontal="left" vertical="center" indent="1"/>
    </xf>
    <xf numFmtId="0" fontId="30" fillId="0" borderId="0" xfId="0" applyFont="1" applyAlignment="1">
      <alignment vertical="top" wrapText="1"/>
    </xf>
    <xf numFmtId="0" fontId="32" fillId="0" borderId="0" xfId="0" applyFont="1" applyAlignment="1">
      <alignment vertical="top" wrapText="1"/>
    </xf>
    <xf numFmtId="0" fontId="30" fillId="28" borderId="11" xfId="0" applyFont="1" applyFill="1" applyBorder="1" applyAlignment="1">
      <alignment vertical="center" wrapText="1"/>
    </xf>
    <xf numFmtId="0" fontId="30" fillId="28" borderId="11" xfId="0" applyFont="1" applyFill="1" applyBorder="1" applyAlignment="1">
      <alignment horizontal="center" vertical="center" wrapText="1"/>
    </xf>
    <xf numFmtId="0" fontId="32" fillId="0" borderId="11" xfId="0" applyFont="1" applyBorder="1" applyAlignment="1">
      <alignment vertical="center" wrapText="1"/>
    </xf>
    <xf numFmtId="0" fontId="38" fillId="0" borderId="11" xfId="0" applyFont="1" applyBorder="1" applyAlignment="1">
      <alignment horizontal="left" vertical="center" wrapText="1"/>
    </xf>
    <xf numFmtId="0" fontId="38" fillId="0" borderId="11" xfId="0" applyFont="1" applyBorder="1" applyAlignment="1">
      <alignment horizontal="right" vertical="center"/>
    </xf>
    <xf numFmtId="0" fontId="30" fillId="32" borderId="11" xfId="0" applyFont="1" applyFill="1" applyBorder="1" applyAlignment="1">
      <alignment vertical="center" wrapText="1"/>
    </xf>
    <xf numFmtId="170" fontId="39" fillId="32" borderId="11" xfId="0" applyNumberFormat="1" applyFont="1" applyFill="1" applyBorder="1" applyAlignment="1">
      <alignment horizontal="right" vertical="center"/>
    </xf>
    <xf numFmtId="170" fontId="38" fillId="0" borderId="11" xfId="0" applyNumberFormat="1" applyFont="1" applyBorder="1" applyAlignment="1">
      <alignment horizontal="right" vertical="center"/>
    </xf>
    <xf numFmtId="0" fontId="34" fillId="0" borderId="11" xfId="0" applyFont="1" applyBorder="1" applyAlignment="1">
      <alignment vertical="center" wrapText="1"/>
    </xf>
    <xf numFmtId="170" fontId="31" fillId="0" borderId="11" xfId="0" applyNumberFormat="1" applyFont="1" applyBorder="1" applyAlignment="1">
      <alignment horizontal="right" vertical="center"/>
    </xf>
    <xf numFmtId="0" fontId="32" fillId="0" borderId="11" xfId="0" applyFont="1" applyBorder="1" applyAlignment="1">
      <alignment horizontal="center"/>
    </xf>
    <xf numFmtId="165" fontId="38" fillId="0" borderId="11" xfId="0" applyNumberFormat="1" applyFont="1" applyBorder="1" applyAlignment="1">
      <alignment horizontal="right" vertical="center"/>
    </xf>
    <xf numFmtId="167" fontId="38" fillId="0" borderId="11" xfId="0" applyNumberFormat="1" applyFont="1" applyBorder="1" applyAlignment="1">
      <alignment horizontal="right" vertical="center"/>
    </xf>
    <xf numFmtId="2" fontId="35" fillId="31" borderId="11" xfId="0" applyNumberFormat="1" applyFont="1" applyFill="1" applyBorder="1" applyAlignment="1" applyProtection="1">
      <alignment horizontal="right" vertical="center"/>
      <protection locked="0"/>
    </xf>
    <xf numFmtId="166" fontId="35" fillId="31" borderId="11" xfId="0" applyNumberFormat="1" applyFont="1" applyFill="1" applyBorder="1" applyAlignment="1" applyProtection="1">
      <alignment horizontal="right" vertical="center"/>
      <protection locked="0"/>
    </xf>
    <xf numFmtId="165" fontId="35" fillId="31" borderId="11" xfId="0" applyNumberFormat="1" applyFont="1" applyFill="1" applyBorder="1" applyAlignment="1" applyProtection="1">
      <alignment horizontal="right" vertical="center"/>
      <protection locked="0"/>
    </xf>
    <xf numFmtId="165" fontId="31" fillId="0" borderId="11" xfId="0" applyNumberFormat="1" applyFont="1" applyBorder="1" applyAlignment="1">
      <alignment horizontal="right" vertical="center"/>
    </xf>
    <xf numFmtId="2" fontId="31" fillId="0" borderId="11" xfId="0" applyNumberFormat="1" applyFont="1" applyBorder="1" applyAlignment="1">
      <alignment horizontal="right" vertical="center"/>
    </xf>
    <xf numFmtId="168" fontId="31" fillId="0" borderId="11" xfId="0" applyNumberFormat="1" applyFont="1" applyBorder="1" applyAlignment="1">
      <alignment horizontal="right" vertical="center"/>
    </xf>
    <xf numFmtId="0" fontId="31" fillId="0" borderId="11" xfId="0" applyFont="1" applyBorder="1" applyAlignment="1">
      <alignment horizontal="left" vertical="center" wrapText="1"/>
    </xf>
    <xf numFmtId="166" fontId="31" fillId="0" borderId="11" xfId="0" applyNumberFormat="1" applyFont="1" applyBorder="1" applyAlignment="1">
      <alignment horizontal="right" vertical="center"/>
    </xf>
    <xf numFmtId="0" fontId="30" fillId="0" borderId="0" xfId="0" applyFont="1" applyAlignment="1">
      <alignment horizontal="right" vertical="center"/>
    </xf>
    <xf numFmtId="0" fontId="35" fillId="31" borderId="11" xfId="0" applyFont="1" applyFill="1" applyBorder="1" applyAlignment="1">
      <alignment horizontal="right" vertical="center"/>
    </xf>
    <xf numFmtId="0" fontId="31" fillId="0" borderId="11" xfId="0" applyFont="1" applyBorder="1" applyAlignment="1">
      <alignment horizontal="right" vertical="center"/>
    </xf>
    <xf numFmtId="0" fontId="39" fillId="32" borderId="11" xfId="0" applyFont="1" applyFill="1" applyBorder="1" applyAlignment="1">
      <alignment horizontal="right" vertical="center"/>
    </xf>
    <xf numFmtId="0" fontId="36" fillId="0" borderId="0" xfId="0" applyFont="1" applyAlignment="1">
      <alignment vertical="top" wrapText="1"/>
    </xf>
    <xf numFmtId="0" fontId="35" fillId="31" borderId="11" xfId="0" applyFont="1" applyFill="1" applyBorder="1" applyAlignment="1" applyProtection="1">
      <alignment horizontal="left" vertical="center" wrapText="1"/>
      <protection locked="0"/>
    </xf>
    <xf numFmtId="2" fontId="38" fillId="0" borderId="11" xfId="0" applyNumberFormat="1" applyFont="1" applyBorder="1" applyAlignment="1">
      <alignment horizontal="right" vertical="center"/>
    </xf>
    <xf numFmtId="167" fontId="35" fillId="31" borderId="11" xfId="0" applyNumberFormat="1" applyFont="1" applyFill="1" applyBorder="1" applyAlignment="1" applyProtection="1">
      <alignment horizontal="right" vertical="center"/>
      <protection locked="0"/>
    </xf>
    <xf numFmtId="167" fontId="31" fillId="0" borderId="11" xfId="0" applyNumberFormat="1" applyFont="1" applyBorder="1" applyAlignment="1">
      <alignment horizontal="right" vertical="center"/>
    </xf>
    <xf numFmtId="166" fontId="38" fillId="0" borderId="11" xfId="0" applyNumberFormat="1" applyFont="1" applyBorder="1" applyAlignment="1">
      <alignment horizontal="right" vertical="center"/>
    </xf>
    <xf numFmtId="10" fontId="38" fillId="0" borderId="11" xfId="0" applyNumberFormat="1" applyFont="1" applyBorder="1" applyAlignment="1">
      <alignment horizontal="right" vertical="center"/>
    </xf>
    <xf numFmtId="10" fontId="35" fillId="31" borderId="11" xfId="0" applyNumberFormat="1" applyFont="1" applyFill="1" applyBorder="1" applyAlignment="1" applyProtection="1">
      <alignment horizontal="right" vertical="center"/>
      <protection locked="0"/>
    </xf>
    <xf numFmtId="10" fontId="31" fillId="0" borderId="11" xfId="0" applyNumberFormat="1" applyFont="1" applyBorder="1" applyAlignment="1">
      <alignment horizontal="right" vertical="center"/>
    </xf>
    <xf numFmtId="169" fontId="35" fillId="31" borderId="11" xfId="0" applyNumberFormat="1" applyFont="1" applyFill="1" applyBorder="1" applyAlignment="1" applyProtection="1">
      <alignment horizontal="right" vertical="center"/>
      <protection locked="0"/>
    </xf>
    <xf numFmtId="0" fontId="35" fillId="31" borderId="11" xfId="0" applyFont="1" applyFill="1" applyBorder="1" applyAlignment="1" applyProtection="1">
      <alignment horizontal="right" vertical="center"/>
      <protection locked="0"/>
    </xf>
    <xf numFmtId="166" fontId="39" fillId="32" borderId="11" xfId="0" applyNumberFormat="1" applyFont="1" applyFill="1" applyBorder="1" applyAlignment="1">
      <alignment horizontal="right" vertical="center"/>
    </xf>
    <xf numFmtId="0" fontId="40" fillId="0" borderId="11" xfId="0" applyFont="1" applyBorder="1" applyAlignment="1">
      <alignment vertical="center" wrapText="1"/>
    </xf>
    <xf numFmtId="3" fontId="35" fillId="31" borderId="11" xfId="0" applyNumberFormat="1" applyFont="1" applyFill="1" applyBorder="1" applyAlignment="1" applyProtection="1">
      <alignment horizontal="right" vertical="center"/>
      <protection locked="0"/>
    </xf>
    <xf numFmtId="169" fontId="31" fillId="0" borderId="11" xfId="0" applyNumberFormat="1" applyFont="1" applyBorder="1" applyAlignment="1">
      <alignment horizontal="right" vertical="center"/>
    </xf>
    <xf numFmtId="0" fontId="30" fillId="0" borderId="11" xfId="0" applyFont="1" applyBorder="1" applyAlignment="1">
      <alignment vertical="center" wrapText="1"/>
    </xf>
    <xf numFmtId="1" fontId="31" fillId="0" borderId="11" xfId="0" applyNumberFormat="1" applyFont="1" applyBorder="1" applyAlignment="1">
      <alignment horizontal="right" vertical="center"/>
    </xf>
    <xf numFmtId="3" fontId="31" fillId="0" borderId="11" xfId="0" applyNumberFormat="1" applyFont="1" applyBorder="1" applyAlignment="1">
      <alignment horizontal="right" vertical="center"/>
    </xf>
    <xf numFmtId="168" fontId="35" fillId="31" borderId="11" xfId="0" applyNumberFormat="1" applyFont="1" applyFill="1" applyBorder="1" applyAlignment="1" applyProtection="1">
      <alignment horizontal="right" vertical="center"/>
      <protection locked="0"/>
    </xf>
    <xf numFmtId="170" fontId="35" fillId="31" borderId="11" xfId="0" applyNumberFormat="1" applyFont="1" applyFill="1" applyBorder="1" applyAlignment="1" applyProtection="1">
      <alignment horizontal="right" vertical="center"/>
      <protection locked="0"/>
    </xf>
    <xf numFmtId="165" fontId="39" fillId="32" borderId="11" xfId="0" applyNumberFormat="1" applyFont="1" applyFill="1" applyBorder="1" applyAlignment="1">
      <alignment horizontal="right" vertical="center"/>
    </xf>
    <xf numFmtId="2" fontId="39" fillId="32" borderId="11" xfId="0" applyNumberFormat="1" applyFont="1" applyFill="1" applyBorder="1" applyAlignment="1">
      <alignment horizontal="right" vertical="center"/>
    </xf>
    <xf numFmtId="0" fontId="35" fillId="0" borderId="11" xfId="0" applyFont="1" applyBorder="1" applyAlignment="1">
      <alignment horizontal="right" vertical="center"/>
    </xf>
    <xf numFmtId="168" fontId="39" fillId="32" borderId="11" xfId="0" applyNumberFormat="1" applyFont="1" applyFill="1" applyBorder="1" applyAlignment="1">
      <alignment horizontal="right" vertical="center"/>
    </xf>
    <xf numFmtId="166" fontId="35" fillId="0" borderId="11" xfId="0" applyNumberFormat="1" applyFont="1" applyBorder="1" applyAlignment="1">
      <alignment horizontal="right" vertical="center"/>
    </xf>
    <xf numFmtId="0" fontId="31" fillId="0" borderId="11" xfId="0" applyFont="1" applyBorder="1" applyAlignment="1">
      <alignment horizontal="center" vertical="center"/>
    </xf>
    <xf numFmtId="2" fontId="35" fillId="0" borderId="11" xfId="0" applyNumberFormat="1" applyFont="1" applyBorder="1" applyAlignment="1">
      <alignment horizontal="right" vertical="center"/>
    </xf>
    <xf numFmtId="165" fontId="35" fillId="0" borderId="11" xfId="0" applyNumberFormat="1" applyFont="1" applyBorder="1" applyAlignment="1">
      <alignment horizontal="right" vertical="center"/>
    </xf>
    <xf numFmtId="168" fontId="35" fillId="0" borderId="11" xfId="0" applyNumberFormat="1" applyFont="1" applyBorder="1" applyAlignment="1">
      <alignment horizontal="right" vertical="center"/>
    </xf>
    <xf numFmtId="40" fontId="35" fillId="0" borderId="11" xfId="0" applyNumberFormat="1" applyFont="1" applyBorder="1" applyAlignment="1">
      <alignment horizontal="right" vertical="center"/>
    </xf>
    <xf numFmtId="40" fontId="31" fillId="0" borderId="11" xfId="0" applyNumberFormat="1" applyFont="1" applyBorder="1" applyAlignment="1">
      <alignment horizontal="right" vertical="center"/>
    </xf>
    <xf numFmtId="167" fontId="35" fillId="0" borderId="11" xfId="0" applyNumberFormat="1" applyFont="1" applyBorder="1" applyAlignment="1">
      <alignment horizontal="right" vertical="center"/>
    </xf>
    <xf numFmtId="10" fontId="34" fillId="0" borderId="11" xfId="0" applyNumberFormat="1" applyFont="1" applyBorder="1" applyAlignment="1">
      <alignment vertical="center" wrapText="1"/>
    </xf>
    <xf numFmtId="10" fontId="35" fillId="0" borderId="11" xfId="0" applyNumberFormat="1" applyFont="1" applyBorder="1" applyAlignment="1">
      <alignment horizontal="right" vertical="center"/>
    </xf>
    <xf numFmtId="165" fontId="34" fillId="0" borderId="11" xfId="0" applyNumberFormat="1" applyFont="1" applyBorder="1" applyAlignment="1">
      <alignment vertical="center" wrapText="1"/>
    </xf>
    <xf numFmtId="0" fontId="37" fillId="30" borderId="11" xfId="0" applyFont="1" applyFill="1" applyBorder="1" applyAlignment="1">
      <alignment horizontal="center" vertical="center"/>
    </xf>
    <xf numFmtId="3" fontId="35" fillId="0" borderId="11" xfId="0" applyNumberFormat="1" applyFont="1" applyBorder="1" applyAlignment="1">
      <alignment horizontal="right" vertical="center"/>
    </xf>
    <xf numFmtId="0" fontId="42" fillId="0" borderId="0" xfId="0" applyFont="1" applyAlignment="1">
      <alignment vertical="top" wrapText="1"/>
    </xf>
    <xf numFmtId="0" fontId="23" fillId="0" borderId="0" xfId="0" applyFont="1" applyAlignment="1">
      <alignment horizontal="left" vertical="center" wrapText="1"/>
    </xf>
    <xf numFmtId="0" fontId="21" fillId="0" borderId="0" xfId="0" applyFont="1" applyAlignment="1">
      <alignment horizontal="left" vertical="center" wrapText="1"/>
    </xf>
    <xf numFmtId="0" fontId="19" fillId="0" borderId="0" xfId="0" applyFont="1" applyAlignment="1">
      <alignment horizontal="left" vertical="center" wrapText="1"/>
    </xf>
    <xf numFmtId="2" fontId="27" fillId="0" borderId="0" xfId="0" applyNumberFormat="1" applyFont="1" applyAlignment="1">
      <alignment horizontal="left" vertical="center" wrapText="1"/>
    </xf>
    <xf numFmtId="0" fontId="23" fillId="0" borderId="0" xfId="0" applyFont="1" applyAlignment="1">
      <alignment horizontal="left" vertical="center"/>
    </xf>
    <xf numFmtId="0" fontId="32" fillId="0" borderId="0" xfId="0" applyFont="1" applyAlignment="1">
      <alignment vertical="top" wrapText="1"/>
    </xf>
    <xf numFmtId="0" fontId="36" fillId="0" borderId="0" xfId="0" applyFont="1" applyAlignment="1">
      <alignment vertical="top" wrapText="1"/>
    </xf>
    <xf numFmtId="0" fontId="40" fillId="0" borderId="0" xfId="0" applyFont="1" applyAlignment="1">
      <alignment vertical="top" wrapText="1"/>
    </xf>
    <xf numFmtId="0" fontId="39" fillId="32" borderId="11" xfId="0" applyFont="1" applyFill="1" applyBorder="1" applyAlignment="1">
      <alignment horizontal="right" vertical="center"/>
    </xf>
    <xf numFmtId="0" fontId="0" fillId="0" borderId="0" xfId="0" applyAlignment="1"/>
    <xf numFmtId="0" fontId="0" fillId="0" borderId="12" xfId="0" applyBorder="1" applyAlignment="1"/>
    <xf numFmtId="0" fontId="0" fillId="0" borderId="13" xfId="0" applyBorder="1" applyAlignment="1"/>
  </cellXfs>
  <cellStyles count="43">
    <cellStyle name="20% - Accent1" xfId="1" xr:uid="{00000000-0005-0000-0000-000001000000}"/>
    <cellStyle name="20% - Accent2" xfId="2" xr:uid="{00000000-0005-0000-0000-000002000000}"/>
    <cellStyle name="20% - Accent3" xfId="3" xr:uid="{00000000-0005-0000-0000-000003000000}"/>
    <cellStyle name="20% - Accent4" xfId="4" xr:uid="{00000000-0005-0000-0000-000004000000}"/>
    <cellStyle name="20% - Accent5" xfId="5" xr:uid="{00000000-0005-0000-0000-000005000000}"/>
    <cellStyle name="20% - Accent6" xfId="6" xr:uid="{00000000-0005-0000-0000-000006000000}"/>
    <cellStyle name="40% - Accent1" xfId="7" xr:uid="{00000000-0005-0000-0000-000007000000}"/>
    <cellStyle name="40% - Accent2" xfId="8" xr:uid="{00000000-0005-0000-0000-000008000000}"/>
    <cellStyle name="40% - Accent3" xfId="9" xr:uid="{00000000-0005-0000-0000-000009000000}"/>
    <cellStyle name="40% - Accent4" xfId="10" xr:uid="{00000000-0005-0000-0000-00000A000000}"/>
    <cellStyle name="40% - Accent5" xfId="11" xr:uid="{00000000-0005-0000-0000-00000B000000}"/>
    <cellStyle name="40% - Accent6" xfId="12" xr:uid="{00000000-0005-0000-0000-00000C000000}"/>
    <cellStyle name="60% - Accent1" xfId="13" xr:uid="{00000000-0005-0000-0000-00000D000000}"/>
    <cellStyle name="60% - Accent2" xfId="14" xr:uid="{00000000-0005-0000-0000-00000E000000}"/>
    <cellStyle name="60% - Accent3" xfId="15" xr:uid="{00000000-0005-0000-0000-00000F000000}"/>
    <cellStyle name="60% - Accent4" xfId="16" xr:uid="{00000000-0005-0000-0000-000010000000}"/>
    <cellStyle name="60% - Accent5" xfId="17" xr:uid="{00000000-0005-0000-0000-000011000000}"/>
    <cellStyle name="60% - Accent6" xfId="18" xr:uid="{00000000-0005-0000-0000-000012000000}"/>
    <cellStyle name="Accent1" xfId="19" xr:uid="{00000000-0005-0000-0000-000013000000}"/>
    <cellStyle name="Accent2" xfId="20" xr:uid="{00000000-0005-0000-0000-000014000000}"/>
    <cellStyle name="Accent3" xfId="21" xr:uid="{00000000-0005-0000-0000-000015000000}"/>
    <cellStyle name="Accent4" xfId="22" xr:uid="{00000000-0005-0000-0000-000016000000}"/>
    <cellStyle name="Accent5" xfId="23" xr:uid="{00000000-0005-0000-0000-000017000000}"/>
    <cellStyle name="Accent6" xfId="24" xr:uid="{00000000-0005-0000-0000-000018000000}"/>
    <cellStyle name="Bad" xfId="25" xr:uid="{00000000-0005-0000-0000-000019000000}"/>
    <cellStyle name="Calculation" xfId="26" xr:uid="{00000000-0005-0000-0000-00001A000000}"/>
    <cellStyle name="Check Cell" xfId="27" xr:uid="{00000000-0005-0000-0000-00001B000000}"/>
    <cellStyle name="Explanatory Text" xfId="28" xr:uid="{00000000-0005-0000-0000-00001C000000}"/>
    <cellStyle name="Followed Hyperlink" xfId="42" builtinId="9" hidden="1"/>
    <cellStyle name="Good" xfId="29" xr:uid="{00000000-0005-0000-0000-00001D000000}"/>
    <cellStyle name="Heading 1" xfId="30" xr:uid="{00000000-0005-0000-0000-00001E000000}"/>
    <cellStyle name="Heading 2" xfId="31" xr:uid="{00000000-0005-0000-0000-00001F000000}"/>
    <cellStyle name="Heading 3" xfId="32" xr:uid="{00000000-0005-0000-0000-000020000000}"/>
    <cellStyle name="Heading 4" xfId="33" xr:uid="{00000000-0005-0000-0000-000021000000}"/>
    <cellStyle name="Input" xfId="34" xr:uid="{00000000-0005-0000-0000-000022000000}"/>
    <cellStyle name="Linked Cell" xfId="35" xr:uid="{00000000-0005-0000-0000-000023000000}"/>
    <cellStyle name="Neutral" xfId="36" xr:uid="{00000000-0005-0000-0000-000024000000}"/>
    <cellStyle name="Normal" xfId="0" builtinId="0"/>
    <cellStyle name="Note" xfId="37" xr:uid="{00000000-0005-0000-0000-000025000000}"/>
    <cellStyle name="Output" xfId="38" xr:uid="{00000000-0005-0000-0000-000026000000}"/>
    <cellStyle name="Title" xfId="39" xr:uid="{00000000-0005-0000-0000-000027000000}"/>
    <cellStyle name="Total" xfId="40" xr:uid="{00000000-0005-0000-0000-000028000000}"/>
    <cellStyle name="Warning Text" xfId="41" xr:uid="{00000000-0005-0000-0000-000029000000}"/>
  </cellStyles>
  <dxfs count="74">
    <dxf>
      <font>
        <b/>
        <color rgb="FFC00000"/>
      </font>
      <fill>
        <patternFill patternType="solid">
          <fgColor rgb="FFFCE4E4"/>
          <bgColor rgb="FFFCE4E4"/>
        </patternFill>
      </fill>
    </dxf>
    <dxf>
      <font>
        <b/>
        <color rgb="FF006100"/>
      </font>
      <fill>
        <patternFill patternType="solid">
          <fgColor rgb="FFE2EFDA"/>
          <bgColor rgb="FFE2EFDA"/>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ill>
        <patternFill patternType="solid">
          <fgColor rgb="FFFCE4D6"/>
          <bgColor rgb="FFFCE4D6"/>
        </patternFill>
      </fill>
    </dxf>
    <dxf>
      <font>
        <color rgb="FFA6A6A6"/>
      </font>
      <fill>
        <patternFill patternType="solid">
          <fgColor rgb="FFF2F2F2"/>
          <bgColor rgb="FFF2F2F2"/>
        </patternFill>
      </fill>
    </dxf>
    <dxf>
      <fill>
        <patternFill patternType="solid">
          <fgColor rgb="FFFCE4E4"/>
          <bgColor rgb="FFFCE4E4"/>
        </patternFill>
      </fill>
    </dxf>
    <dxf>
      <fill>
        <patternFill patternType="solid">
          <fgColor rgb="FFFCE4E4"/>
          <bgColor rgb="FFFCE4E4"/>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color rgb="FFA6A6A6"/>
      </font>
      <fill>
        <patternFill patternType="solid">
          <fgColor rgb="FFF2F2F2"/>
          <bgColor rgb="FFF2F2F2"/>
        </patternFill>
      </fill>
    </dxf>
    <dxf>
      <font>
        <b/>
        <color rgb="FF974706"/>
      </font>
      <fill>
        <patternFill patternType="solid">
          <fgColor rgb="FFFCE4D6"/>
          <bgColor rgb="FFFCE4D6"/>
        </patternFill>
      </fill>
    </dxf>
    <dxf>
      <font>
        <b/>
        <color rgb="FFC00000"/>
      </font>
      <fill>
        <patternFill patternType="solid">
          <fgColor rgb="FFFCE4E4"/>
          <bgColor rgb="FFFCE4E4"/>
        </patternFill>
      </fill>
    </dxf>
    <dxf>
      <font>
        <b/>
        <color rgb="FF006100"/>
      </font>
      <fill>
        <patternFill patternType="solid">
          <fgColor rgb="FFE2EFDA"/>
          <bgColor rgb="FFE2EFDA"/>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Emission reductions claimed by operating year</a:t>
            </a:r>
          </a:p>
        </c:rich>
      </c:tx>
      <c:overlay val="1"/>
    </c:title>
    <c:autoTitleDeleted val="0"/>
    <c:plotArea>
      <c:layout/>
      <c:barChart>
        <c:barDir val="col"/>
        <c:grouping val="clustered"/>
        <c:varyColors val="1"/>
        <c:ser>
          <c:idx val="0"/>
          <c:order val="0"/>
          <c:tx>
            <c:strRef>
              <c:f>Summary!$C$20</c:f>
              <c:strCache>
                <c:ptCount val="1"/>
                <c:pt idx="0">
                  <c:v>S1</c:v>
                </c:pt>
              </c:strCache>
            </c:strRef>
          </c:tx>
          <c:spPr>
            <a:solidFill>
              <a:srgbClr val="00B9BD"/>
            </a:solidFill>
            <a:ln>
              <a:solidFill>
                <a:srgbClr val="00B9BD"/>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Summary!$C$21:$C$35</c:f>
              <c:numCache>
                <c:formatCode>#,##0.0;[Red]\-#,##0.0</c:formatCode>
                <c:ptCount val="15"/>
                <c:pt idx="0">
                  <c:v>0</c:v>
                </c:pt>
                <c:pt idx="1">
                  <c:v>444.34189456569084</c:v>
                </c:pt>
                <c:pt idx="2">
                  <c:v>932.97550771080012</c:v>
                </c:pt>
                <c:pt idx="3">
                  <c:v>1089.1253498275937</c:v>
                </c:pt>
                <c:pt idx="4">
                  <c:v>1121.4975173622715</c:v>
                </c:pt>
                <c:pt idx="5">
                  <c:v>1275.2955995540524</c:v>
                </c:pt>
                <c:pt idx="6">
                  <c:v>1282.5187235917567</c:v>
                </c:pt>
                <c:pt idx="7">
                  <c:v>1202.9775173622716</c:v>
                </c:pt>
                <c:pt idx="8">
                  <c:v>1315.4775173622716</c:v>
                </c:pt>
                <c:pt idx="9">
                  <c:v>1277.9775173622716</c:v>
                </c:pt>
                <c:pt idx="10">
                  <c:v>0</c:v>
                </c:pt>
                <c:pt idx="11">
                  <c:v>0</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00B9BD"/>
                    </a:solidFill>
                    <a:prstDash val="solid"/>
                  </a:ln>
                </c14:spPr>
              </c14:invertSolidFillFmt>
            </c:ext>
            <c:ext xmlns:c16="http://schemas.microsoft.com/office/drawing/2014/chart" uri="{C3380CC4-5D6E-409C-BE32-E72D297353CC}">
              <c16:uniqueId val="{00000000-8B69-4DCD-905D-1B0E48D81DA0}"/>
            </c:ext>
          </c:extLst>
        </c:ser>
        <c:ser>
          <c:idx val="1"/>
          <c:order val="1"/>
          <c:tx>
            <c:strRef>
              <c:f>Summary!$D$20</c:f>
              <c:strCache>
                <c:ptCount val="1"/>
                <c:pt idx="0">
                  <c:v>S2</c:v>
                </c:pt>
              </c:strCache>
            </c:strRef>
          </c:tx>
          <c:spPr>
            <a:solidFill>
              <a:srgbClr val="097E80"/>
            </a:solidFill>
            <a:ln>
              <a:solidFill>
                <a:srgbClr val="097E80"/>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Summary!$D$21:$D$35</c:f>
              <c:numCache>
                <c:formatCode>#,##0.0;[Red]\-#,##0.0</c:formatCode>
                <c:ptCount val="15"/>
                <c:pt idx="0">
                  <c:v>2066.7410737624741</c:v>
                </c:pt>
                <c:pt idx="1">
                  <c:v>4618.1667886739979</c:v>
                </c:pt>
                <c:pt idx="2">
                  <c:v>6045.6498395445124</c:v>
                </c:pt>
                <c:pt idx="3">
                  <c:v>5885.6498395445124</c:v>
                </c:pt>
                <c:pt idx="4">
                  <c:v>5885.9025518732797</c:v>
                </c:pt>
                <c:pt idx="5">
                  <c:v>6155.5746303597016</c:v>
                </c:pt>
                <c:pt idx="6">
                  <c:v>5977.8898395445121</c:v>
                </c:pt>
                <c:pt idx="7">
                  <c:v>5977.8898395445121</c:v>
                </c:pt>
                <c:pt idx="8">
                  <c:v>6137.8898395445121</c:v>
                </c:pt>
                <c:pt idx="9">
                  <c:v>5995.5746303597016</c:v>
                </c:pt>
                <c:pt idx="10">
                  <c:v>0</c:v>
                </c:pt>
                <c:pt idx="11">
                  <c:v>0</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097E80"/>
                    </a:solidFill>
                    <a:prstDash val="solid"/>
                  </a:ln>
                </c14:spPr>
              </c14:invertSolidFillFmt>
            </c:ext>
            <c:ext xmlns:c16="http://schemas.microsoft.com/office/drawing/2014/chart" uri="{C3380CC4-5D6E-409C-BE32-E72D297353CC}">
              <c16:uniqueId val="{00000001-8B69-4DCD-905D-1B0E48D81DA0}"/>
            </c:ext>
          </c:extLst>
        </c:ser>
        <c:ser>
          <c:idx val="2"/>
          <c:order val="2"/>
          <c:tx>
            <c:strRef>
              <c:f>Summary!$E$20</c:f>
              <c:strCache>
                <c:ptCount val="1"/>
                <c:pt idx="0">
                  <c:v>S2M</c:v>
                </c:pt>
              </c:strCache>
            </c:strRef>
          </c:tx>
          <c:spPr>
            <a:solidFill>
              <a:srgbClr val="7FDCDE"/>
            </a:solidFill>
            <a:ln>
              <a:solidFill>
                <a:srgbClr val="7FDCDE"/>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Summary!$E$21:$E$35</c:f>
              <c:numCache>
                <c:formatCode>#,##0.0;[Red]\-#,##0.0</c:formatCode>
                <c:ptCount val="15"/>
                <c:pt idx="0">
                  <c:v>2917.6496543284488</c:v>
                </c:pt>
                <c:pt idx="1">
                  <c:v>6311.0164297116162</c:v>
                </c:pt>
                <c:pt idx="2">
                  <c:v>8152.4879092855044</c:v>
                </c:pt>
                <c:pt idx="3">
                  <c:v>7992.4879092855044</c:v>
                </c:pt>
                <c:pt idx="4">
                  <c:v>7992.7406216142717</c:v>
                </c:pt>
                <c:pt idx="5">
                  <c:v>8268.1466118555891</c:v>
                </c:pt>
                <c:pt idx="6">
                  <c:v>8084.7279092855042</c:v>
                </c:pt>
                <c:pt idx="7">
                  <c:v>8084.7279092855042</c:v>
                </c:pt>
                <c:pt idx="8">
                  <c:v>8244.7279092855042</c:v>
                </c:pt>
                <c:pt idx="9">
                  <c:v>8108.1466118555891</c:v>
                </c:pt>
                <c:pt idx="10">
                  <c:v>0</c:v>
                </c:pt>
                <c:pt idx="11">
                  <c:v>0</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FDCDE"/>
                    </a:solidFill>
                    <a:prstDash val="solid"/>
                  </a:ln>
                </c14:spPr>
              </c14:invertSolidFillFmt>
            </c:ext>
            <c:ext xmlns:c16="http://schemas.microsoft.com/office/drawing/2014/chart" uri="{C3380CC4-5D6E-409C-BE32-E72D297353CC}">
              <c16:uniqueId val="{00000002-8B69-4DCD-905D-1B0E48D81DA0}"/>
            </c:ext>
          </c:extLst>
        </c:ser>
        <c:ser>
          <c:idx val="3"/>
          <c:order val="3"/>
          <c:tx>
            <c:strRef>
              <c:f>Summary!$F$20</c:f>
              <c:strCache>
                <c:ptCount val="1"/>
                <c:pt idx="0">
                  <c:v>S3</c:v>
                </c:pt>
              </c:strCache>
            </c:strRef>
          </c:tx>
          <c:spPr>
            <a:solidFill>
              <a:srgbClr val="AFB936"/>
            </a:solidFill>
            <a:ln>
              <a:solidFill>
                <a:srgbClr val="AFB936"/>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Summary!$F$21:$F$35</c:f>
              <c:numCache>
                <c:formatCode>#,##0.0;[Red]\-#,##0.0</c:formatCode>
                <c:ptCount val="15"/>
                <c:pt idx="0">
                  <c:v>1415.3474039029968</c:v>
                </c:pt>
                <c:pt idx="1">
                  <c:v>2290.3134544564118</c:v>
                </c:pt>
                <c:pt idx="2">
                  <c:v>3258.0060802915223</c:v>
                </c:pt>
                <c:pt idx="3">
                  <c:v>4158.3330646594559</c:v>
                </c:pt>
                <c:pt idx="4">
                  <c:v>4158.9105989060308</c:v>
                </c:pt>
                <c:pt idx="5">
                  <c:v>4383.5725557533469</c:v>
                </c:pt>
                <c:pt idx="6">
                  <c:v>4369.1725167142504</c:v>
                </c:pt>
                <c:pt idx="7">
                  <c:v>4383.5330646594557</c:v>
                </c:pt>
                <c:pt idx="8">
                  <c:v>4340.3330646594559</c:v>
                </c:pt>
                <c:pt idx="9">
                  <c:v>4354.6936516437581</c:v>
                </c:pt>
                <c:pt idx="10">
                  <c:v>4340.3330646594559</c:v>
                </c:pt>
                <c:pt idx="11">
                  <c:v>4340.3330646594559</c:v>
                </c:pt>
                <c:pt idx="12">
                  <c:v>4340.4514208238397</c:v>
                </c:pt>
                <c:pt idx="13">
                  <c:v>4398.0120078081418</c:v>
                </c:pt>
                <c:pt idx="14">
                  <c:v>4383.5330646594557</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AFB936"/>
                    </a:solidFill>
                    <a:prstDash val="solid"/>
                  </a:ln>
                </c14:spPr>
              </c14:invertSolidFillFmt>
            </c:ext>
            <c:ext xmlns:c16="http://schemas.microsoft.com/office/drawing/2014/chart" uri="{C3380CC4-5D6E-409C-BE32-E72D297353CC}">
              <c16:uniqueId val="{00000003-8B69-4DCD-905D-1B0E48D81DA0}"/>
            </c:ext>
          </c:extLst>
        </c:ser>
        <c:ser>
          <c:idx val="4"/>
          <c:order val="4"/>
          <c:tx>
            <c:strRef>
              <c:f>Summary!$G$20</c:f>
              <c:strCache>
                <c:ptCount val="1"/>
                <c:pt idx="0">
                  <c:v>S4</c:v>
                </c:pt>
              </c:strCache>
            </c:strRef>
          </c:tx>
          <c:spPr>
            <a:solidFill>
              <a:srgbClr val="515151"/>
            </a:solidFill>
            <a:ln>
              <a:solidFill>
                <a:srgbClr val="515151"/>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Summary!$G$21:$G$35</c:f>
              <c:numCache>
                <c:formatCode>#,##0.0;[Red]\-#,##0.0</c:formatCode>
                <c:ptCount val="15"/>
                <c:pt idx="0">
                  <c:v>3962.0247907659646</c:v>
                </c:pt>
                <c:pt idx="1">
                  <c:v>7695.6335150379109</c:v>
                </c:pt>
                <c:pt idx="2">
                  <c:v>10053.822886423759</c:v>
                </c:pt>
                <c:pt idx="3">
                  <c:v>9693.822886423759</c:v>
                </c:pt>
                <c:pt idx="4">
                  <c:v>9934.4840371086902</c:v>
                </c:pt>
                <c:pt idx="5">
                  <c:v>10326.838414629941</c:v>
                </c:pt>
                <c:pt idx="6">
                  <c:v>9935.1428864237587</c:v>
                </c:pt>
                <c:pt idx="7">
                  <c:v>10175.142886423759</c:v>
                </c:pt>
                <c:pt idx="8">
                  <c:v>10295.142886423759</c:v>
                </c:pt>
                <c:pt idx="9">
                  <c:v>9966.8384146299413</c:v>
                </c:pt>
                <c:pt idx="10">
                  <c:v>10175.142886423759</c:v>
                </c:pt>
                <c:pt idx="11">
                  <c:v>10295.142886423759</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515151"/>
                    </a:solidFill>
                    <a:prstDash val="solid"/>
                  </a:ln>
                </c14:spPr>
              </c14:invertSolidFillFmt>
            </c:ext>
            <c:ext xmlns:c16="http://schemas.microsoft.com/office/drawing/2014/chart" uri="{C3380CC4-5D6E-409C-BE32-E72D297353CC}">
              <c16:uniqueId val="{00000004-8B69-4DCD-905D-1B0E48D81DA0}"/>
            </c:ext>
          </c:extLst>
        </c:ser>
        <c:ser>
          <c:idx val="5"/>
          <c:order val="5"/>
          <c:tx>
            <c:strRef>
              <c:f>Summary!$H$20</c:f>
              <c:strCache>
                <c:ptCount val="1"/>
                <c:pt idx="0">
                  <c:v>S4M</c:v>
                </c:pt>
              </c:strCache>
            </c:strRef>
          </c:tx>
          <c:spPr>
            <a:solidFill>
              <a:srgbClr val="A8A8A8"/>
            </a:solidFill>
            <a:ln>
              <a:solidFill>
                <a:srgbClr val="A8A8A8"/>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Summary!$H$21:$H$35</c:f>
              <c:numCache>
                <c:formatCode>#,##0.0;[Red]\-#,##0.0</c:formatCode>
                <c:ptCount val="15"/>
                <c:pt idx="0">
                  <c:v>6694.3500065812032</c:v>
                </c:pt>
                <c:pt idx="1">
                  <c:v>11240.885913563741</c:v>
                </c:pt>
                <c:pt idx="2">
                  <c:v>14106.163697352131</c:v>
                </c:pt>
                <c:pt idx="3">
                  <c:v>13746.163697352131</c:v>
                </c:pt>
                <c:pt idx="4">
                  <c:v>13986.824848037062</c:v>
                </c:pt>
                <c:pt idx="5">
                  <c:v>14389.264542848527</c:v>
                </c:pt>
                <c:pt idx="6">
                  <c:v>13987.483697352131</c:v>
                </c:pt>
                <c:pt idx="7">
                  <c:v>14227.483697352131</c:v>
                </c:pt>
                <c:pt idx="8">
                  <c:v>14347.483697352131</c:v>
                </c:pt>
                <c:pt idx="9">
                  <c:v>14029.264542848527</c:v>
                </c:pt>
                <c:pt idx="10">
                  <c:v>14227.483697352131</c:v>
                </c:pt>
                <c:pt idx="11">
                  <c:v>14347.483697352131</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A8A8A8"/>
                    </a:solidFill>
                    <a:prstDash val="solid"/>
                  </a:ln>
                </c14:spPr>
              </c14:invertSolidFillFmt>
            </c:ext>
            <c:ext xmlns:c16="http://schemas.microsoft.com/office/drawing/2014/chart" uri="{C3380CC4-5D6E-409C-BE32-E72D297353CC}">
              <c16:uniqueId val="{00000005-8B69-4DCD-905D-1B0E48D81DA0}"/>
            </c:ext>
          </c:extLst>
        </c:ser>
        <c:ser>
          <c:idx val="6"/>
          <c:order val="6"/>
          <c:tx>
            <c:strRef>
              <c:f>Summary!$I$20</c:f>
              <c:strCache>
                <c:ptCount val="1"/>
                <c:pt idx="0">
                  <c:v>S5</c:v>
                </c:pt>
              </c:strCache>
            </c:strRef>
          </c:tx>
          <c:spPr>
            <a:solidFill>
              <a:srgbClr val="D6DF40"/>
            </a:solidFill>
            <a:ln>
              <a:solidFill>
                <a:srgbClr val="D6DF40"/>
              </a:solidFill>
              <a:prstDash val="solid"/>
            </a:ln>
          </c:spPr>
          <c:invertIfNegative val="1"/>
          <c:cat>
            <c:numRef>
              <c:f>Summary!$B$21:$B$35</c:f>
              <c:numCache>
                <c:formatCode>General</c:formatCode>
                <c:ptCount val="1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numCache>
            </c:numRef>
          </c:cat>
          <c:val>
            <c:numRef>
              <c:f>Summary!$I$21:$I$35</c:f>
              <c:numCache>
                <c:formatCode>#,##0.0;[Red]\-#,##0.0</c:formatCode>
                <c:ptCount val="15"/>
                <c:pt idx="0">
                  <c:v>303.53732176016445</c:v>
                </c:pt>
                <c:pt idx="1">
                  <c:v>721.63663677917384</c:v>
                </c:pt>
                <c:pt idx="2">
                  <c:v>1124.0012497143141</c:v>
                </c:pt>
                <c:pt idx="3">
                  <c:v>1011.2191097072947</c:v>
                </c:pt>
                <c:pt idx="4">
                  <c:v>990.41923884336552</c:v>
                </c:pt>
                <c:pt idx="5">
                  <c:v>1181.7612963971494</c:v>
                </c:pt>
                <c:pt idx="6">
                  <c:v>1007.8787966282241</c:v>
                </c:pt>
                <c:pt idx="7">
                  <c:v>982.76581032685408</c:v>
                </c:pt>
                <c:pt idx="8">
                  <c:v>0</c:v>
                </c:pt>
                <c:pt idx="9">
                  <c:v>0</c:v>
                </c:pt>
                <c:pt idx="10">
                  <c:v>0</c:v>
                </c:pt>
                <c:pt idx="11">
                  <c:v>0</c:v>
                </c:pt>
                <c:pt idx="12">
                  <c:v>0</c:v>
                </c:pt>
                <c:pt idx="13">
                  <c:v>0</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D6DF40"/>
                    </a:solidFill>
                    <a:prstDash val="solid"/>
                  </a:ln>
                </c14:spPr>
              </c14:invertSolidFillFmt>
            </c:ext>
            <c:ext xmlns:c16="http://schemas.microsoft.com/office/drawing/2014/chart" uri="{C3380CC4-5D6E-409C-BE32-E72D297353CC}">
              <c16:uniqueId val="{00000006-8B69-4DCD-905D-1B0E48D81DA0}"/>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title>
          <c:tx>
            <c:rich>
              <a:bodyPr/>
              <a:lstStyle/>
              <a:p>
                <a:pPr>
                  <a:defRPr/>
                </a:pPr>
                <a:r>
                  <a:t>Operating year</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title>
          <c:tx>
            <c:rich>
              <a:bodyPr/>
              <a:lstStyle/>
              <a:p>
                <a:pPr>
                  <a:defRPr/>
                </a:pPr>
                <a:r>
                  <a:t>tCO2e</a:t>
                </a:r>
              </a:p>
            </c:rich>
          </c:tx>
          <c:overlay val="1"/>
        </c:title>
        <c:numFmt formatCode="#,##0.0;[Red]\-#,##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101600</xdr:rowOff>
    </xdr:from>
    <xdr:to>
      <xdr:col>2</xdr:col>
      <xdr:colOff>685640</xdr:colOff>
      <xdr:row>2</xdr:row>
      <xdr:rowOff>314978</xdr:rowOff>
    </xdr:to>
    <xdr:pic>
      <xdr:nvPicPr>
        <xdr:cNvPr id="2" name="Picture 1">
          <a:extLst>
            <a:ext uri="{FF2B5EF4-FFF2-40B4-BE49-F238E27FC236}">
              <a16:creationId xmlns:a16="http://schemas.microsoft.com/office/drawing/2014/main" id="{4D344C37-583E-4678-9244-53DEA5F14B9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393" t="24794" r="8745" b="17354"/>
        <a:stretch/>
      </xdr:blipFill>
      <xdr:spPr>
        <a:xfrm>
          <a:off x="200025" y="101600"/>
          <a:ext cx="2141695" cy="599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36</xdr:row>
      <xdr:rowOff>0</xdr:rowOff>
    </xdr:from>
    <xdr:ext cx="936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GoldStandard">
  <a:themeElements>
    <a:clrScheme name="GoldStandard Colour Palette">
      <a:dk1>
        <a:srgbClr val="515151"/>
      </a:dk1>
      <a:lt1>
        <a:srgbClr val="FFFFFF"/>
      </a:lt1>
      <a:dk2>
        <a:srgbClr val="323232"/>
      </a:dk2>
      <a:lt2>
        <a:srgbClr val="E6E5E5"/>
      </a:lt2>
      <a:accent1>
        <a:srgbClr val="00B9BD"/>
      </a:accent1>
      <a:accent2>
        <a:srgbClr val="109B9D"/>
      </a:accent2>
      <a:accent3>
        <a:srgbClr val="097E80"/>
      </a:accent3>
      <a:accent4>
        <a:srgbClr val="D6DF40"/>
      </a:accent4>
      <a:accent5>
        <a:srgbClr val="C1CC3A"/>
      </a:accent5>
      <a:accent6>
        <a:srgbClr val="AFB936"/>
      </a:accent6>
      <a:hlink>
        <a:srgbClr val="00B9BD"/>
      </a:hlink>
      <a:folHlink>
        <a:srgbClr val="D3D4D6"/>
      </a:folHlink>
    </a:clrScheme>
    <a:fontScheme name="Test">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bodyPr anchor="t"/>
      <a:lstStyle>
        <a:defPPr>
          <a:defRPr smtClean="0"/>
        </a:defPPr>
      </a:lstStyle>
    </a:txDef>
  </a:objectDefaults>
  <a:extraClrSchemeLst/>
  <a:extLst>
    <a:ext uri="{05A4C25C-085E-4340-85A3-A5531E510DB2}">
      <thm15:themeFamily xmlns:thm15="http://schemas.microsoft.com/office/thememl/2012/main" name="GoldStandard-theme" id="{2EC3FD0D-E269-4A4F-B2C9-6AC141EAB1A5}" vid="{86384915-11BA-5A4A-B8D7-A8323FEA86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9BD"/>
    <pageSetUpPr fitToPage="1"/>
  </sheetPr>
  <dimension ref="B3:J33"/>
  <sheetViews>
    <sheetView showGridLines="0" tabSelected="1" topLeftCell="A4" zoomScale="125" zoomScaleNormal="81" workbookViewId="0">
      <selection activeCell="C12" sqref="C12:J12"/>
    </sheetView>
  </sheetViews>
  <sheetFormatPr defaultColWidth="8.42578125" defaultRowHeight="15" customHeight="1"/>
  <cols>
    <col min="1" max="1" width="3.140625" style="4" customWidth="1"/>
    <col min="2" max="2" width="18.42578125" style="2" customWidth="1"/>
    <col min="3" max="3" width="31.42578125" style="3" customWidth="1"/>
    <col min="4" max="4" width="37" style="15" customWidth="1"/>
    <col min="5" max="5" width="14.28515625" style="3" bestFit="1" customWidth="1"/>
    <col min="6" max="6" width="13.85546875" style="3" bestFit="1" customWidth="1"/>
    <col min="7" max="7" width="13.85546875" style="3" customWidth="1"/>
    <col min="8" max="8" width="55.140625" style="3" customWidth="1"/>
    <col min="9" max="10" width="20.42578125" style="1" customWidth="1"/>
    <col min="11" max="11" width="8.42578125" style="4" customWidth="1"/>
    <col min="12" max="16384" width="8.42578125" style="4"/>
  </cols>
  <sheetData>
    <row r="3" spans="2:10" ht="33.75" customHeight="1">
      <c r="D3" s="7"/>
      <c r="H3" s="10"/>
    </row>
    <row r="4" spans="2:10" ht="63.95" customHeight="1">
      <c r="B4" s="14" t="s">
        <v>0</v>
      </c>
      <c r="D4" s="7"/>
    </row>
    <row r="5" spans="2:10" s="5" customFormat="1" ht="26.25" customHeight="1">
      <c r="B5" s="5" t="s">
        <v>1</v>
      </c>
      <c r="C5" s="17">
        <v>46323</v>
      </c>
      <c r="D5" s="7"/>
      <c r="E5" s="6"/>
      <c r="F5" s="6"/>
      <c r="G5" s="6"/>
      <c r="H5" s="7"/>
      <c r="I5" s="7"/>
      <c r="J5" s="7"/>
    </row>
    <row r="6" spans="2:10" s="5" customFormat="1" ht="30" customHeight="1">
      <c r="B6" s="5" t="s">
        <v>2</v>
      </c>
      <c r="C6" s="91" t="s">
        <v>3</v>
      </c>
      <c r="D6" s="92"/>
      <c r="E6" s="92"/>
      <c r="F6" s="92"/>
      <c r="G6" s="92"/>
      <c r="H6" s="92"/>
      <c r="I6" s="92"/>
      <c r="J6" s="92"/>
    </row>
    <row r="7" spans="2:10" ht="15" customHeight="1">
      <c r="C7" s="16"/>
      <c r="D7" s="7"/>
    </row>
    <row r="8" spans="2:10" s="5" customFormat="1" ht="58.5" customHeight="1">
      <c r="B8" s="18" t="s">
        <v>4</v>
      </c>
      <c r="C8" s="8"/>
      <c r="D8" s="8"/>
      <c r="E8" s="8"/>
      <c r="F8" s="8"/>
      <c r="G8" s="8"/>
      <c r="H8" s="8"/>
      <c r="I8" s="8"/>
      <c r="J8" s="8"/>
    </row>
    <row r="9" spans="2:10" s="12" customFormat="1" ht="20.25" customHeight="1">
      <c r="B9" s="13"/>
      <c r="C9" s="11"/>
      <c r="D9" s="11"/>
      <c r="E9" s="11"/>
      <c r="F9" s="11"/>
      <c r="G9" s="11"/>
      <c r="H9" s="11"/>
      <c r="I9" s="11"/>
      <c r="J9" s="11"/>
    </row>
    <row r="10" spans="2:10" ht="15.95" customHeight="1">
      <c r="B10" s="9"/>
      <c r="D10" s="7"/>
    </row>
    <row r="11" spans="2:10" ht="44.1" customHeight="1">
      <c r="B11" s="19" t="s">
        <v>5</v>
      </c>
      <c r="C11" s="87" t="s">
        <v>6</v>
      </c>
      <c r="D11" s="88"/>
      <c r="E11" s="89"/>
      <c r="F11" s="89"/>
      <c r="G11" s="89"/>
      <c r="H11" s="89"/>
      <c r="I11" s="90"/>
      <c r="J11" s="90"/>
    </row>
    <row r="12" spans="2:10" ht="44.1" customHeight="1">
      <c r="B12" s="19" t="s">
        <v>7</v>
      </c>
      <c r="C12" s="87" t="s">
        <v>8</v>
      </c>
      <c r="D12" s="88"/>
      <c r="E12" s="89"/>
      <c r="F12" s="89"/>
      <c r="G12" s="89"/>
      <c r="H12" s="89"/>
      <c r="I12" s="90"/>
      <c r="J12" s="90"/>
    </row>
    <row r="13" spans="2:10" ht="44.1" customHeight="1">
      <c r="B13" s="19" t="s">
        <v>9</v>
      </c>
      <c r="C13" s="87" t="s">
        <v>10</v>
      </c>
      <c r="D13" s="88"/>
      <c r="E13" s="89"/>
      <c r="F13" s="89"/>
      <c r="G13" s="89"/>
      <c r="H13" s="89"/>
      <c r="I13" s="90"/>
      <c r="J13" s="90"/>
    </row>
    <row r="14" spans="2:10" ht="44.1" customHeight="1">
      <c r="B14" s="19" t="s">
        <v>11</v>
      </c>
      <c r="C14" s="87" t="s">
        <v>12</v>
      </c>
      <c r="D14" s="88"/>
      <c r="E14" s="89"/>
      <c r="F14" s="89"/>
      <c r="G14" s="89"/>
      <c r="H14" s="89"/>
      <c r="I14" s="90"/>
      <c r="J14" s="90"/>
    </row>
    <row r="15" spans="2:10" ht="44.1" customHeight="1">
      <c r="B15" s="19" t="s">
        <v>13</v>
      </c>
      <c r="C15" s="87" t="s">
        <v>14</v>
      </c>
      <c r="D15" s="88"/>
      <c r="E15" s="89"/>
      <c r="F15" s="89"/>
      <c r="G15" s="89"/>
      <c r="H15" s="89"/>
      <c r="I15" s="90"/>
      <c r="J15" s="90"/>
    </row>
    <row r="16" spans="2:10" ht="44.1" customHeight="1">
      <c r="B16" s="19" t="s">
        <v>15</v>
      </c>
      <c r="C16" s="87" t="s">
        <v>16</v>
      </c>
      <c r="D16" s="88"/>
      <c r="E16" s="89"/>
      <c r="F16" s="89"/>
      <c r="G16" s="89"/>
      <c r="H16" s="89"/>
      <c r="I16" s="90"/>
      <c r="J16" s="90"/>
    </row>
    <row r="17" spans="2:10" ht="44.1" customHeight="1">
      <c r="B17" s="19" t="s">
        <v>17</v>
      </c>
      <c r="C17" s="87" t="s">
        <v>18</v>
      </c>
      <c r="D17" s="88"/>
      <c r="E17" s="89"/>
      <c r="F17" s="89"/>
      <c r="G17" s="89"/>
      <c r="H17" s="89"/>
      <c r="I17" s="90"/>
      <c r="J17" s="90"/>
    </row>
    <row r="19" spans="2:10" ht="21.95" customHeight="1">
      <c r="B19" s="20" t="s">
        <v>19</v>
      </c>
      <c r="C19" s="20"/>
      <c r="D19" s="20"/>
      <c r="E19" s="20"/>
      <c r="F19" s="20"/>
      <c r="G19" s="20"/>
      <c r="H19" s="20"/>
      <c r="I19" s="20"/>
      <c r="J19" s="20"/>
    </row>
    <row r="20" spans="2:10" ht="27.95" customHeight="1">
      <c r="B20" s="21" t="s">
        <v>20</v>
      </c>
      <c r="C20" s="87" t="s">
        <v>21</v>
      </c>
      <c r="D20" s="88"/>
      <c r="E20" s="89"/>
      <c r="F20" s="89"/>
      <c r="G20" s="89"/>
      <c r="H20" s="89"/>
      <c r="I20" s="90"/>
      <c r="J20" s="90"/>
    </row>
    <row r="21" spans="2:10" ht="27.95" customHeight="1">
      <c r="B21" s="21" t="s">
        <v>22</v>
      </c>
      <c r="C21" s="87" t="s">
        <v>23</v>
      </c>
      <c r="D21" s="88"/>
      <c r="E21" s="89"/>
      <c r="F21" s="89"/>
      <c r="G21" s="89"/>
      <c r="H21" s="89"/>
      <c r="I21" s="90"/>
      <c r="J21" s="90"/>
    </row>
    <row r="22" spans="2:10" ht="27.95" customHeight="1">
      <c r="B22" s="21" t="s">
        <v>24</v>
      </c>
      <c r="C22" s="87" t="s">
        <v>25</v>
      </c>
      <c r="D22" s="88"/>
      <c r="E22" s="89"/>
      <c r="F22" s="89"/>
      <c r="G22" s="89"/>
      <c r="H22" s="89"/>
      <c r="I22" s="90"/>
      <c r="J22" s="90"/>
    </row>
    <row r="23" spans="2:10" ht="27.95" customHeight="1">
      <c r="B23" s="21" t="s">
        <v>26</v>
      </c>
      <c r="C23" s="87" t="s">
        <v>27</v>
      </c>
      <c r="D23" s="88"/>
      <c r="E23" s="89"/>
      <c r="F23" s="89"/>
      <c r="G23" s="89"/>
      <c r="H23" s="89"/>
      <c r="I23" s="90"/>
      <c r="J23" s="90"/>
    </row>
    <row r="24" spans="2:10" ht="27.95" customHeight="1">
      <c r="B24" s="21" t="s">
        <v>28</v>
      </c>
      <c r="C24" s="87" t="s">
        <v>29</v>
      </c>
      <c r="D24" s="88"/>
      <c r="E24" s="89"/>
      <c r="F24" s="89"/>
      <c r="G24" s="89"/>
      <c r="H24" s="89"/>
      <c r="I24" s="90"/>
      <c r="J24" s="90"/>
    </row>
    <row r="25" spans="2:10" ht="27.95" customHeight="1">
      <c r="B25" s="21" t="s">
        <v>30</v>
      </c>
      <c r="C25" s="87" t="s">
        <v>31</v>
      </c>
      <c r="D25" s="88"/>
      <c r="E25" s="89"/>
      <c r="F25" s="89"/>
      <c r="G25" s="89"/>
      <c r="H25" s="89"/>
      <c r="I25" s="90"/>
      <c r="J25" s="90"/>
    </row>
    <row r="26" spans="2:10" ht="27.95" customHeight="1">
      <c r="B26" s="21" t="s">
        <v>32</v>
      </c>
      <c r="C26" s="87" t="s">
        <v>33</v>
      </c>
      <c r="D26" s="88"/>
      <c r="E26" s="89"/>
      <c r="F26" s="89"/>
      <c r="G26" s="89"/>
      <c r="H26" s="89"/>
      <c r="I26" s="90"/>
      <c r="J26" s="90"/>
    </row>
    <row r="27" spans="2:10" ht="27.95" customHeight="1">
      <c r="B27" s="21" t="s">
        <v>34</v>
      </c>
      <c r="C27" s="87" t="s">
        <v>35</v>
      </c>
      <c r="D27" s="88"/>
      <c r="E27" s="89"/>
      <c r="F27" s="89"/>
      <c r="G27" s="89"/>
      <c r="H27" s="89"/>
      <c r="I27" s="90"/>
      <c r="J27" s="90"/>
    </row>
    <row r="28" spans="2:10" ht="27.95" customHeight="1">
      <c r="B28" s="21" t="s">
        <v>36</v>
      </c>
      <c r="C28" s="87" t="s">
        <v>37</v>
      </c>
      <c r="D28" s="88"/>
      <c r="E28" s="89"/>
      <c r="F28" s="89"/>
      <c r="G28" s="89"/>
      <c r="H28" s="89"/>
      <c r="I28" s="90"/>
      <c r="J28" s="90"/>
    </row>
    <row r="29" spans="2:10" ht="27.95" customHeight="1">
      <c r="B29" s="21" t="s">
        <v>38</v>
      </c>
      <c r="C29" s="87" t="s">
        <v>39</v>
      </c>
      <c r="D29" s="88"/>
      <c r="E29" s="89"/>
      <c r="F29" s="89"/>
      <c r="G29" s="89"/>
      <c r="H29" s="89"/>
      <c r="I29" s="90"/>
      <c r="J29" s="90"/>
    </row>
    <row r="30" spans="2:10" ht="27.95" customHeight="1">
      <c r="B30" s="21" t="s">
        <v>40</v>
      </c>
      <c r="C30" s="87" t="s">
        <v>41</v>
      </c>
      <c r="D30" s="88"/>
      <c r="E30" s="89"/>
      <c r="F30" s="89"/>
      <c r="G30" s="89"/>
      <c r="H30" s="89"/>
      <c r="I30" s="90"/>
      <c r="J30" s="90"/>
    </row>
    <row r="31" spans="2:10" ht="27.95" customHeight="1">
      <c r="B31" s="21" t="s">
        <v>42</v>
      </c>
      <c r="C31" s="87" t="s">
        <v>43</v>
      </c>
      <c r="D31" s="88"/>
      <c r="E31" s="89"/>
      <c r="F31" s="89"/>
      <c r="G31" s="89"/>
      <c r="H31" s="89"/>
      <c r="I31" s="90"/>
      <c r="J31" s="90"/>
    </row>
    <row r="32" spans="2:10" ht="27.95" customHeight="1">
      <c r="B32" s="21" t="s">
        <v>44</v>
      </c>
      <c r="C32" s="87" t="s">
        <v>45</v>
      </c>
      <c r="D32" s="88"/>
      <c r="E32" s="89"/>
      <c r="F32" s="89"/>
      <c r="G32" s="89"/>
      <c r="H32" s="89"/>
      <c r="I32" s="90"/>
      <c r="J32" s="90"/>
    </row>
    <row r="33" spans="2:10" ht="27.95" customHeight="1">
      <c r="B33" s="21" t="s">
        <v>46</v>
      </c>
      <c r="C33" s="87" t="s">
        <v>47</v>
      </c>
      <c r="D33" s="88"/>
      <c r="E33" s="89"/>
      <c r="F33" s="89"/>
      <c r="G33" s="89"/>
      <c r="H33" s="89"/>
      <c r="I33" s="90"/>
      <c r="J33" s="90"/>
    </row>
  </sheetData>
  <sheetProtection algorithmName="SHA-512" hashValue="dMyjXVAh714FtXid4BbximakYqB06uYROe93qBd6ChTzQZpra5Mt7Y8kla0rBu6pQQAHk7WetfpHxtMqpUDnew==" saltValue="xiI8qflHwAKNdy8W703Vow==" spinCount="100000" sheet="1" objects="1" scenarios="1" formatColumns="0" formatRows="0"/>
  <mergeCells count="22">
    <mergeCell ref="C33:J33"/>
    <mergeCell ref="C6:J6"/>
    <mergeCell ref="C24:J24"/>
    <mergeCell ref="C14:J14"/>
    <mergeCell ref="C26:J26"/>
    <mergeCell ref="C29:J29"/>
    <mergeCell ref="C20:J20"/>
    <mergeCell ref="C25:J25"/>
    <mergeCell ref="C16:J16"/>
    <mergeCell ref="C22:J22"/>
    <mergeCell ref="C31:J31"/>
    <mergeCell ref="C12:J12"/>
    <mergeCell ref="C21:J21"/>
    <mergeCell ref="C11:J11"/>
    <mergeCell ref="C13:J13"/>
    <mergeCell ref="C27:J27"/>
    <mergeCell ref="C15:J15"/>
    <mergeCell ref="C23:J23"/>
    <mergeCell ref="C17:J17"/>
    <mergeCell ref="C32:J32"/>
    <mergeCell ref="C28:J28"/>
    <mergeCell ref="C30:J30"/>
  </mergeCells>
  <conditionalFormatting sqref="B4 D1:D2 D4 D10:D1048576">
    <cfRule type="duplicateValues" dxfId="73" priority="44"/>
    <cfRule type="duplicateValues" dxfId="72" priority="45"/>
  </conditionalFormatting>
  <conditionalFormatting sqref="D5:D9">
    <cfRule type="duplicateValues" dxfId="71" priority="195"/>
    <cfRule type="duplicateValues" dxfId="70" priority="196"/>
    <cfRule type="duplicateValues" dxfId="69" priority="197"/>
    <cfRule type="duplicateValues" dxfId="68" priority="198"/>
  </conditionalFormatting>
  <hyperlinks>
    <hyperlink ref="B20" location="'Guide'!A1" display="Guide" xr:uid="{00000000-0004-0000-0000-000000000000}"/>
    <hyperlink ref="B21" location="'Summary'!A1" display="Summary" xr:uid="{00000000-0004-0000-0000-000001000000}"/>
    <hyperlink ref="B22" location="'Credit map'!A1" display="Credit map" xr:uid="{00000000-0004-0000-0000-000002000000}"/>
    <hyperlink ref="B23" location="'S1 CBS-OD'!A1" display="S1 CBS-OD" xr:uid="{00000000-0004-0000-0000-000003000000}"/>
    <hyperlink ref="B24" location="'S2 Pit service'!A1" display="S2 Pit service" xr:uid="{00000000-0004-0000-0000-000004000000}"/>
    <hyperlink ref="B25" location="'S2M Pit measured'!A1" display="S2M Pit measured" xr:uid="{00000000-0004-0000-0000-000005000000}"/>
    <hyperlink ref="B26" location="'S3 Septic-AD'!A1" display="S3 Septic-AD" xr:uid="{00000000-0004-0000-0000-000006000000}"/>
    <hyperlink ref="B27" location="'S4 Mixed urban'!A1" display="S4 Mixed urban" xr:uid="{00000000-0004-0000-0000-000007000000}"/>
    <hyperlink ref="B28" location="'S4M Mixed measured'!A1" display="S4M Mixed measured" xr:uid="{00000000-0004-0000-0000-000008000000}"/>
    <hyperlink ref="B29" location="'S5 Refugee camp'!A1" display="S5 Refugee camp" xr:uid="{00000000-0004-0000-0000-000009000000}"/>
    <hyperlink ref="B30" location="'Helpers'!A1" display="Helpers" xr:uid="{00000000-0004-0000-0000-00000A000000}"/>
    <hyperlink ref="B31" location="'Checks'!A1" display="Checks" xr:uid="{00000000-0004-0000-0000-00000B000000}"/>
    <hyperlink ref="B32" location="'Defaults'!A1" display="Defaults" xr:uid="{00000000-0004-0000-0000-00000C000000}"/>
    <hyperlink ref="B33" location="'Lists'!A1" display="Lists" xr:uid="{00000000-0004-0000-0000-00000D000000}"/>
  </hyperlinks>
  <pageMargins left="0.7" right="0.7" top="0.75" bottom="0.75" header="0.3" footer="0.3"/>
  <pageSetup paperSize="9" scale="54" orientation="landscape" horizontalDpi="4294967293"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97E80"/>
    <pageSetUpPr fitToPage="1"/>
  </sheetPr>
  <dimension ref="B1:E93"/>
  <sheetViews>
    <sheetView showGridLines="0" workbookViewId="0"/>
  </sheetViews>
  <sheetFormatPr defaultRowHeight="15"/>
  <cols>
    <col min="1" max="1" width="2" customWidth="1"/>
    <col min="2" max="2" width="26" customWidth="1"/>
    <col min="3" max="3" width="62" customWidth="1"/>
    <col min="4" max="4" width="44" customWidth="1"/>
    <col min="5" max="5" width="40" customWidth="1"/>
  </cols>
  <sheetData>
    <row r="1" spans="2:5" ht="27.95" customHeight="1">
      <c r="B1" s="22" t="s">
        <v>48</v>
      </c>
      <c r="C1" s="22"/>
      <c r="D1" s="22"/>
      <c r="E1" s="22"/>
    </row>
    <row r="3" spans="2:5" ht="20.100000000000001" customHeight="1">
      <c r="B3" s="20" t="s">
        <v>49</v>
      </c>
      <c r="C3" s="20"/>
      <c r="D3" s="20"/>
      <c r="E3" s="20"/>
    </row>
    <row r="4" spans="2:5" ht="32.1" customHeight="1">
      <c r="B4" s="23" t="s">
        <v>50</v>
      </c>
      <c r="C4" s="93" t="s">
        <v>51</v>
      </c>
      <c r="D4" s="97"/>
      <c r="E4" s="97"/>
    </row>
    <row r="5" spans="2:5" ht="32.1" customHeight="1">
      <c r="B5" s="23" t="s">
        <v>52</v>
      </c>
      <c r="C5" s="93" t="s">
        <v>53</v>
      </c>
      <c r="D5" s="97"/>
      <c r="E5" s="97"/>
    </row>
    <row r="6" spans="2:5" ht="32.1" customHeight="1">
      <c r="B6" s="23" t="s">
        <v>54</v>
      </c>
      <c r="C6" s="93" t="s">
        <v>55</v>
      </c>
      <c r="D6" s="97"/>
      <c r="E6" s="97"/>
    </row>
    <row r="7" spans="2:5" ht="32.1" customHeight="1">
      <c r="B7" s="23" t="s">
        <v>56</v>
      </c>
      <c r="C7" s="93" t="s">
        <v>57</v>
      </c>
      <c r="D7" s="97"/>
      <c r="E7" s="97"/>
    </row>
    <row r="8" spans="2:5" ht="32.1" customHeight="1">
      <c r="B8" s="23" t="s">
        <v>58</v>
      </c>
      <c r="C8" s="93" t="s">
        <v>59</v>
      </c>
      <c r="D8" s="97"/>
      <c r="E8" s="97"/>
    </row>
    <row r="9" spans="2:5" ht="32.1" customHeight="1">
      <c r="B9" s="23" t="s">
        <v>60</v>
      </c>
      <c r="C9" s="93" t="s">
        <v>61</v>
      </c>
      <c r="D9" s="97"/>
      <c r="E9" s="97"/>
    </row>
    <row r="10" spans="2:5" ht="32.1" customHeight="1">
      <c r="B10" s="23" t="s">
        <v>62</v>
      </c>
      <c r="C10" s="93" t="s">
        <v>63</v>
      </c>
      <c r="D10" s="97"/>
      <c r="E10" s="97"/>
    </row>
    <row r="12" spans="2:5" ht="20.100000000000001" customHeight="1">
      <c r="B12" s="20" t="s">
        <v>64</v>
      </c>
      <c r="C12" s="20"/>
      <c r="D12" s="20"/>
      <c r="E12" s="20"/>
    </row>
    <row r="13" spans="2:5" ht="32.1" customHeight="1">
      <c r="B13" s="23" t="s">
        <v>65</v>
      </c>
      <c r="C13" s="93" t="s">
        <v>66</v>
      </c>
      <c r="D13" s="97"/>
      <c r="E13" s="97"/>
    </row>
    <row r="14" spans="2:5" ht="32.1" customHeight="1">
      <c r="B14" s="23" t="s">
        <v>67</v>
      </c>
      <c r="C14" s="93" t="s">
        <v>68</v>
      </c>
      <c r="D14" s="97"/>
      <c r="E14" s="97"/>
    </row>
    <row r="15" spans="2:5" ht="32.1" customHeight="1">
      <c r="B15" s="23" t="s">
        <v>69</v>
      </c>
      <c r="C15" s="93" t="s">
        <v>70</v>
      </c>
      <c r="D15" s="97"/>
      <c r="E15" s="97"/>
    </row>
    <row r="16" spans="2:5" ht="32.1" customHeight="1">
      <c r="B16" s="23" t="s">
        <v>71</v>
      </c>
      <c r="C16" s="93" t="s">
        <v>72</v>
      </c>
      <c r="D16" s="97"/>
      <c r="E16" s="97"/>
    </row>
    <row r="17" spans="2:5" ht="32.1" customHeight="1">
      <c r="B17" s="23" t="s">
        <v>73</v>
      </c>
      <c r="C17" s="93" t="s">
        <v>74</v>
      </c>
      <c r="D17" s="97"/>
      <c r="E17" s="97"/>
    </row>
    <row r="18" spans="2:5" ht="32.1" customHeight="1">
      <c r="B18" s="23" t="s">
        <v>75</v>
      </c>
      <c r="C18" s="93" t="s">
        <v>76</v>
      </c>
      <c r="D18" s="97"/>
      <c r="E18" s="97"/>
    </row>
    <row r="20" spans="2:5" ht="20.100000000000001" customHeight="1">
      <c r="B20" s="20" t="s">
        <v>77</v>
      </c>
      <c r="C20" s="20"/>
      <c r="D20" s="20"/>
      <c r="E20" s="20"/>
    </row>
    <row r="21" spans="2:5">
      <c r="B21" s="25" t="s">
        <v>78</v>
      </c>
      <c r="C21" s="25" t="s">
        <v>79</v>
      </c>
      <c r="D21" s="25" t="s">
        <v>80</v>
      </c>
      <c r="E21" s="25" t="s">
        <v>81</v>
      </c>
    </row>
    <row r="22" spans="2:5" ht="62.1" customHeight="1">
      <c r="B22" s="24" t="s">
        <v>26</v>
      </c>
      <c r="C22" s="24" t="s">
        <v>82</v>
      </c>
      <c r="D22" s="24" t="s">
        <v>83</v>
      </c>
      <c r="E22" s="24" t="s">
        <v>84</v>
      </c>
    </row>
    <row r="23" spans="2:5" ht="62.1" customHeight="1">
      <c r="B23" s="24" t="s">
        <v>28</v>
      </c>
      <c r="C23" s="24" t="s">
        <v>85</v>
      </c>
      <c r="D23" s="24" t="s">
        <v>86</v>
      </c>
      <c r="E23" s="24" t="s">
        <v>87</v>
      </c>
    </row>
    <row r="24" spans="2:5" ht="62.1" customHeight="1">
      <c r="B24" s="24" t="s">
        <v>30</v>
      </c>
      <c r="C24" s="24" t="s">
        <v>88</v>
      </c>
      <c r="D24" s="24" t="s">
        <v>89</v>
      </c>
      <c r="E24" s="24" t="s">
        <v>90</v>
      </c>
    </row>
    <row r="25" spans="2:5" ht="62.1" customHeight="1">
      <c r="B25" s="24" t="s">
        <v>32</v>
      </c>
      <c r="C25" s="24" t="s">
        <v>91</v>
      </c>
      <c r="D25" s="24" t="s">
        <v>92</v>
      </c>
      <c r="E25" s="24" t="s">
        <v>93</v>
      </c>
    </row>
    <row r="26" spans="2:5" ht="62.1" customHeight="1">
      <c r="B26" s="24" t="s">
        <v>34</v>
      </c>
      <c r="C26" s="24" t="s">
        <v>94</v>
      </c>
      <c r="D26" s="24" t="s">
        <v>95</v>
      </c>
      <c r="E26" s="24" t="s">
        <v>96</v>
      </c>
    </row>
    <row r="27" spans="2:5" ht="62.1" customHeight="1">
      <c r="B27" s="24" t="s">
        <v>36</v>
      </c>
      <c r="C27" s="24" t="s">
        <v>97</v>
      </c>
      <c r="D27" s="24" t="s">
        <v>98</v>
      </c>
      <c r="E27" s="24" t="s">
        <v>90</v>
      </c>
    </row>
    <row r="28" spans="2:5" ht="62.1" customHeight="1">
      <c r="B28" s="24" t="s">
        <v>38</v>
      </c>
      <c r="C28" s="24" t="s">
        <v>99</v>
      </c>
      <c r="D28" s="24" t="s">
        <v>100</v>
      </c>
      <c r="E28" s="24" t="s">
        <v>101</v>
      </c>
    </row>
    <row r="30" spans="2:5" ht="20.100000000000001" customHeight="1">
      <c r="B30" s="20" t="s">
        <v>102</v>
      </c>
      <c r="C30" s="20"/>
      <c r="D30" s="20"/>
      <c r="E30" s="20"/>
    </row>
    <row r="31" spans="2:5">
      <c r="B31" s="25" t="s">
        <v>103</v>
      </c>
      <c r="C31" s="25" t="s">
        <v>104</v>
      </c>
      <c r="D31" s="25" t="s">
        <v>105</v>
      </c>
      <c r="E31" s="25" t="s">
        <v>106</v>
      </c>
    </row>
    <row r="32" spans="2:5" ht="30" customHeight="1">
      <c r="B32" s="24" t="s">
        <v>107</v>
      </c>
      <c r="C32" s="24" t="s">
        <v>108</v>
      </c>
      <c r="D32" s="24" t="s">
        <v>109</v>
      </c>
      <c r="E32" s="24" t="s">
        <v>110</v>
      </c>
    </row>
    <row r="33" spans="2:5" ht="30" customHeight="1">
      <c r="B33" s="24" t="s">
        <v>111</v>
      </c>
      <c r="C33" s="24" t="s">
        <v>112</v>
      </c>
      <c r="D33" s="24" t="s">
        <v>113</v>
      </c>
      <c r="E33" s="24" t="s">
        <v>114</v>
      </c>
    </row>
    <row r="34" spans="2:5" ht="30" customHeight="1">
      <c r="B34" s="24" t="s">
        <v>115</v>
      </c>
      <c r="C34" s="24" t="s">
        <v>116</v>
      </c>
      <c r="D34" s="24" t="s">
        <v>117</v>
      </c>
      <c r="E34" s="24" t="s">
        <v>118</v>
      </c>
    </row>
    <row r="35" spans="2:5" ht="30" customHeight="1">
      <c r="B35" s="24" t="s">
        <v>119</v>
      </c>
      <c r="C35" s="24" t="s">
        <v>120</v>
      </c>
      <c r="D35" s="24" t="s">
        <v>121</v>
      </c>
      <c r="E35" s="24" t="s">
        <v>69</v>
      </c>
    </row>
    <row r="36" spans="2:5" ht="30" customHeight="1">
      <c r="B36" s="24" t="s">
        <v>122</v>
      </c>
      <c r="C36" s="24" t="s">
        <v>123</v>
      </c>
      <c r="D36" s="24" t="s">
        <v>122</v>
      </c>
      <c r="E36" s="24" t="s">
        <v>124</v>
      </c>
    </row>
    <row r="37" spans="2:5" ht="30" customHeight="1">
      <c r="B37" s="24" t="s">
        <v>125</v>
      </c>
      <c r="C37" s="24" t="s">
        <v>126</v>
      </c>
      <c r="D37" s="24" t="s">
        <v>127</v>
      </c>
      <c r="E37" s="24" t="s">
        <v>128</v>
      </c>
    </row>
    <row r="38" spans="2:5" ht="30" customHeight="1">
      <c r="B38" s="24" t="s">
        <v>129</v>
      </c>
      <c r="C38" s="24" t="s">
        <v>130</v>
      </c>
      <c r="D38" s="24" t="s">
        <v>131</v>
      </c>
      <c r="E38" s="24" t="s">
        <v>132</v>
      </c>
    </row>
    <row r="39" spans="2:5" ht="30" customHeight="1">
      <c r="B39" s="24" t="s">
        <v>133</v>
      </c>
      <c r="C39" s="24" t="s">
        <v>134</v>
      </c>
      <c r="D39" s="24" t="s">
        <v>135</v>
      </c>
      <c r="E39" s="24" t="s">
        <v>136</v>
      </c>
    </row>
    <row r="40" spans="2:5" ht="30" customHeight="1">
      <c r="B40" s="24" t="s">
        <v>137</v>
      </c>
      <c r="C40" s="24" t="s">
        <v>138</v>
      </c>
      <c r="D40" s="24" t="s">
        <v>139</v>
      </c>
      <c r="E40" s="24" t="s">
        <v>75</v>
      </c>
    </row>
    <row r="41" spans="2:5" ht="30" customHeight="1">
      <c r="B41" s="24" t="s">
        <v>140</v>
      </c>
      <c r="C41" s="24" t="s">
        <v>141</v>
      </c>
      <c r="D41" s="24" t="s">
        <v>142</v>
      </c>
      <c r="E41" s="24" t="s">
        <v>75</v>
      </c>
    </row>
    <row r="42" spans="2:5" ht="30" customHeight="1">
      <c r="B42" s="24" t="s">
        <v>143</v>
      </c>
      <c r="C42" s="24" t="s">
        <v>144</v>
      </c>
      <c r="D42" s="24" t="s">
        <v>142</v>
      </c>
      <c r="E42" s="24" t="s">
        <v>145</v>
      </c>
    </row>
    <row r="43" spans="2:5" ht="30" customHeight="1">
      <c r="B43" s="24" t="s">
        <v>146</v>
      </c>
      <c r="C43" s="24" t="s">
        <v>147</v>
      </c>
      <c r="D43" s="24" t="s">
        <v>142</v>
      </c>
      <c r="E43" s="24" t="s">
        <v>148</v>
      </c>
    </row>
    <row r="44" spans="2:5" ht="30" customHeight="1">
      <c r="B44" s="24" t="s">
        <v>149</v>
      </c>
      <c r="C44" s="24" t="s">
        <v>150</v>
      </c>
      <c r="D44" s="24" t="s">
        <v>151</v>
      </c>
      <c r="E44" s="24" t="s">
        <v>152</v>
      </c>
    </row>
    <row r="45" spans="2:5" ht="30" customHeight="1">
      <c r="B45" s="24" t="s">
        <v>153</v>
      </c>
      <c r="C45" s="24" t="s">
        <v>154</v>
      </c>
      <c r="D45" s="24" t="s">
        <v>155</v>
      </c>
      <c r="E45" s="24" t="s">
        <v>75</v>
      </c>
    </row>
    <row r="46" spans="2:5" ht="30" customHeight="1">
      <c r="B46" s="24" t="s">
        <v>156</v>
      </c>
      <c r="C46" s="24" t="s">
        <v>157</v>
      </c>
      <c r="D46" s="24" t="s">
        <v>156</v>
      </c>
      <c r="E46" s="24" t="s">
        <v>158</v>
      </c>
    </row>
    <row r="47" spans="2:5" ht="30" customHeight="1">
      <c r="B47" s="24" t="s">
        <v>159</v>
      </c>
      <c r="C47" s="24" t="s">
        <v>160</v>
      </c>
      <c r="D47" s="24" t="s">
        <v>159</v>
      </c>
      <c r="E47" s="24" t="s">
        <v>161</v>
      </c>
    </row>
    <row r="48" spans="2:5" ht="30" customHeight="1">
      <c r="B48" s="24" t="s">
        <v>162</v>
      </c>
      <c r="C48" s="24" t="s">
        <v>163</v>
      </c>
      <c r="D48" s="24" t="s">
        <v>164</v>
      </c>
      <c r="E48" s="24" t="s">
        <v>165</v>
      </c>
    </row>
    <row r="49" spans="2:5" ht="30" customHeight="1">
      <c r="B49" s="24" t="s">
        <v>166</v>
      </c>
      <c r="C49" s="24" t="s">
        <v>167</v>
      </c>
      <c r="D49" s="24" t="s">
        <v>168</v>
      </c>
      <c r="E49" s="24" t="s">
        <v>169</v>
      </c>
    </row>
    <row r="50" spans="2:5" ht="30" customHeight="1">
      <c r="B50" s="24" t="s">
        <v>170</v>
      </c>
      <c r="C50" s="24" t="s">
        <v>171</v>
      </c>
      <c r="D50" s="24" t="s">
        <v>172</v>
      </c>
      <c r="E50" s="24" t="s">
        <v>173</v>
      </c>
    </row>
    <row r="51" spans="2:5" ht="30" customHeight="1">
      <c r="B51" s="24" t="s">
        <v>174</v>
      </c>
      <c r="C51" s="24" t="s">
        <v>175</v>
      </c>
      <c r="D51" s="24" t="s">
        <v>176</v>
      </c>
      <c r="E51" s="24" t="s">
        <v>177</v>
      </c>
    </row>
    <row r="52" spans="2:5" ht="30" customHeight="1">
      <c r="B52" s="24" t="s">
        <v>178</v>
      </c>
      <c r="C52" s="24" t="s">
        <v>179</v>
      </c>
      <c r="D52" s="24" t="s">
        <v>178</v>
      </c>
      <c r="E52" s="24" t="s">
        <v>180</v>
      </c>
    </row>
    <row r="53" spans="2:5" ht="30" customHeight="1">
      <c r="B53" s="24" t="s">
        <v>181</v>
      </c>
      <c r="C53" s="24" t="s">
        <v>182</v>
      </c>
      <c r="D53" s="24" t="s">
        <v>183</v>
      </c>
      <c r="E53" s="24" t="s">
        <v>184</v>
      </c>
    </row>
    <row r="54" spans="2:5" ht="30" customHeight="1">
      <c r="B54" s="24" t="s">
        <v>185</v>
      </c>
      <c r="C54" s="24" t="s">
        <v>186</v>
      </c>
      <c r="D54" s="24" t="s">
        <v>185</v>
      </c>
      <c r="E54" s="24" t="s">
        <v>187</v>
      </c>
    </row>
    <row r="56" spans="2:5" ht="20.100000000000001" customHeight="1">
      <c r="B56" s="20" t="s">
        <v>188</v>
      </c>
      <c r="C56" s="20"/>
      <c r="D56" s="20"/>
      <c r="E56" s="20"/>
    </row>
    <row r="57" spans="2:5">
      <c r="B57" s="25" t="s">
        <v>189</v>
      </c>
      <c r="C57" s="25" t="s">
        <v>190</v>
      </c>
      <c r="D57" s="25" t="s">
        <v>191</v>
      </c>
      <c r="E57" s="25" t="s">
        <v>192</v>
      </c>
    </row>
    <row r="58" spans="2:5">
      <c r="B58" s="24" t="s">
        <v>193</v>
      </c>
      <c r="C58" s="24" t="s">
        <v>194</v>
      </c>
      <c r="D58" s="24" t="s">
        <v>195</v>
      </c>
      <c r="E58" s="24" t="s">
        <v>196</v>
      </c>
    </row>
    <row r="59" spans="2:5">
      <c r="B59" s="24" t="s">
        <v>197</v>
      </c>
      <c r="C59" s="24" t="s">
        <v>198</v>
      </c>
      <c r="D59" s="24" t="s">
        <v>199</v>
      </c>
      <c r="E59" s="24" t="s">
        <v>200</v>
      </c>
    </row>
    <row r="60" spans="2:5">
      <c r="B60" s="24" t="s">
        <v>201</v>
      </c>
      <c r="C60" s="24" t="s">
        <v>202</v>
      </c>
      <c r="D60" s="24" t="s">
        <v>203</v>
      </c>
      <c r="E60" s="24" t="s">
        <v>200</v>
      </c>
    </row>
    <row r="61" spans="2:5" ht="22.5">
      <c r="B61" s="24" t="s">
        <v>204</v>
      </c>
      <c r="C61" s="24" t="s">
        <v>205</v>
      </c>
      <c r="D61" s="24" t="s">
        <v>206</v>
      </c>
      <c r="E61" s="24" t="s">
        <v>207</v>
      </c>
    </row>
    <row r="62" spans="2:5" ht="22.5">
      <c r="B62" s="24" t="s">
        <v>208</v>
      </c>
      <c r="C62" s="24" t="s">
        <v>209</v>
      </c>
      <c r="D62" s="24" t="s">
        <v>210</v>
      </c>
      <c r="E62" s="24" t="s">
        <v>211</v>
      </c>
    </row>
    <row r="63" spans="2:5">
      <c r="B63" s="24" t="s">
        <v>212</v>
      </c>
      <c r="C63" s="24" t="s">
        <v>213</v>
      </c>
      <c r="D63" s="24" t="s">
        <v>214</v>
      </c>
      <c r="E63" s="24" t="s">
        <v>215</v>
      </c>
    </row>
    <row r="64" spans="2:5">
      <c r="B64" s="24" t="s">
        <v>216</v>
      </c>
      <c r="C64" s="24" t="s">
        <v>217</v>
      </c>
      <c r="D64" s="24" t="s">
        <v>218</v>
      </c>
      <c r="E64" s="24" t="s">
        <v>219</v>
      </c>
    </row>
    <row r="65" spans="2:5">
      <c r="B65" s="24" t="s">
        <v>220</v>
      </c>
      <c r="C65" s="24" t="s">
        <v>221</v>
      </c>
      <c r="D65" s="24" t="s">
        <v>222</v>
      </c>
      <c r="E65" s="24" t="s">
        <v>223</v>
      </c>
    </row>
    <row r="66" spans="2:5">
      <c r="B66" s="24" t="s">
        <v>224</v>
      </c>
      <c r="C66" s="24" t="s">
        <v>225</v>
      </c>
      <c r="D66" s="24" t="s">
        <v>226</v>
      </c>
      <c r="E66" s="24" t="s">
        <v>227</v>
      </c>
    </row>
    <row r="67" spans="2:5" ht="22.5">
      <c r="B67" s="24" t="s">
        <v>228</v>
      </c>
      <c r="C67" s="24" t="s">
        <v>229</v>
      </c>
      <c r="D67" s="24" t="s">
        <v>230</v>
      </c>
      <c r="E67" s="24" t="s">
        <v>231</v>
      </c>
    </row>
    <row r="68" spans="2:5">
      <c r="B68" s="24" t="s">
        <v>232</v>
      </c>
      <c r="C68" s="24" t="s">
        <v>233</v>
      </c>
      <c r="D68" s="24" t="s">
        <v>234</v>
      </c>
      <c r="E68" s="24" t="s">
        <v>235</v>
      </c>
    </row>
    <row r="69" spans="2:5">
      <c r="B69" s="24" t="s">
        <v>236</v>
      </c>
      <c r="C69" s="24" t="s">
        <v>237</v>
      </c>
      <c r="D69" s="24" t="s">
        <v>238</v>
      </c>
      <c r="E69" s="24" t="s">
        <v>239</v>
      </c>
    </row>
    <row r="70" spans="2:5">
      <c r="B70" s="24" t="s">
        <v>240</v>
      </c>
      <c r="C70" s="24" t="s">
        <v>241</v>
      </c>
      <c r="D70" s="24" t="s">
        <v>242</v>
      </c>
      <c r="E70" s="24" t="s">
        <v>243</v>
      </c>
    </row>
    <row r="71" spans="2:5">
      <c r="B71" s="24" t="s">
        <v>244</v>
      </c>
      <c r="C71" s="24" t="s">
        <v>245</v>
      </c>
      <c r="D71" s="24" t="s">
        <v>246</v>
      </c>
      <c r="E71" s="24" t="s">
        <v>247</v>
      </c>
    </row>
    <row r="72" spans="2:5">
      <c r="B72" s="24" t="s">
        <v>248</v>
      </c>
      <c r="C72" s="24" t="s">
        <v>249</v>
      </c>
      <c r="D72" s="24" t="s">
        <v>250</v>
      </c>
      <c r="E72" s="24" t="s">
        <v>200</v>
      </c>
    </row>
    <row r="73" spans="2:5">
      <c r="B73" s="24" t="s">
        <v>251</v>
      </c>
      <c r="C73" s="24" t="s">
        <v>252</v>
      </c>
      <c r="D73" s="24" t="s">
        <v>253</v>
      </c>
      <c r="E73" s="24" t="s">
        <v>254</v>
      </c>
    </row>
    <row r="74" spans="2:5">
      <c r="B74" s="24" t="s">
        <v>255</v>
      </c>
      <c r="C74" s="24" t="s">
        <v>256</v>
      </c>
      <c r="D74" s="24" t="s">
        <v>214</v>
      </c>
      <c r="E74" s="24" t="s">
        <v>215</v>
      </c>
    </row>
    <row r="75" spans="2:5">
      <c r="B75" s="24" t="s">
        <v>257</v>
      </c>
      <c r="C75" s="24" t="s">
        <v>258</v>
      </c>
      <c r="D75" s="24" t="s">
        <v>214</v>
      </c>
      <c r="E75" s="24" t="s">
        <v>259</v>
      </c>
    </row>
    <row r="76" spans="2:5">
      <c r="B76" s="24" t="s">
        <v>260</v>
      </c>
      <c r="C76" s="24" t="s">
        <v>261</v>
      </c>
      <c r="D76" s="24" t="s">
        <v>262</v>
      </c>
      <c r="E76" s="24" t="s">
        <v>73</v>
      </c>
    </row>
    <row r="77" spans="2:5">
      <c r="B77" s="24" t="s">
        <v>263</v>
      </c>
      <c r="C77" s="24" t="s">
        <v>264</v>
      </c>
      <c r="D77" s="24" t="s">
        <v>265</v>
      </c>
      <c r="E77" s="24" t="s">
        <v>71</v>
      </c>
    </row>
    <row r="78" spans="2:5">
      <c r="B78" s="24" t="s">
        <v>266</v>
      </c>
      <c r="C78" s="24" t="s">
        <v>267</v>
      </c>
      <c r="D78" s="24" t="s">
        <v>268</v>
      </c>
      <c r="E78" s="24" t="s">
        <v>124</v>
      </c>
    </row>
    <row r="80" spans="2:5" ht="20.100000000000001" customHeight="1">
      <c r="B80" s="20" t="s">
        <v>269</v>
      </c>
      <c r="C80" s="20"/>
      <c r="D80" s="20"/>
      <c r="E80" s="20"/>
    </row>
    <row r="81" spans="2:5" ht="32.1" customHeight="1">
      <c r="B81" s="23" t="s">
        <v>270</v>
      </c>
      <c r="C81" s="93" t="s">
        <v>271</v>
      </c>
      <c r="D81" s="97"/>
      <c r="E81" s="97"/>
    </row>
    <row r="82" spans="2:5" ht="32.1" customHeight="1">
      <c r="B82" s="23" t="s">
        <v>270</v>
      </c>
      <c r="C82" s="93" t="s">
        <v>272</v>
      </c>
      <c r="D82" s="97"/>
      <c r="E82" s="97"/>
    </row>
    <row r="83" spans="2:5" ht="32.1" customHeight="1">
      <c r="B83" s="23" t="s">
        <v>270</v>
      </c>
      <c r="C83" s="93" t="s">
        <v>273</v>
      </c>
      <c r="D83" s="97"/>
      <c r="E83" s="97"/>
    </row>
    <row r="84" spans="2:5" ht="32.1" customHeight="1">
      <c r="B84" s="23" t="s">
        <v>270</v>
      </c>
      <c r="C84" s="93" t="s">
        <v>274</v>
      </c>
      <c r="D84" s="97"/>
      <c r="E84" s="97"/>
    </row>
    <row r="85" spans="2:5" ht="32.1" customHeight="1">
      <c r="B85" s="23" t="s">
        <v>270</v>
      </c>
      <c r="C85" s="93" t="s">
        <v>275</v>
      </c>
      <c r="D85" s="97"/>
      <c r="E85" s="97"/>
    </row>
    <row r="86" spans="2:5" ht="32.1" customHeight="1">
      <c r="B86" s="23" t="s">
        <v>270</v>
      </c>
      <c r="C86" s="93" t="s">
        <v>276</v>
      </c>
      <c r="D86" s="97"/>
      <c r="E86" s="97"/>
    </row>
    <row r="87" spans="2:5" ht="32.1" customHeight="1">
      <c r="B87" s="23" t="s">
        <v>270</v>
      </c>
      <c r="C87" s="93" t="s">
        <v>277</v>
      </c>
      <c r="D87" s="97"/>
      <c r="E87" s="97"/>
    </row>
    <row r="88" spans="2:5" ht="32.1" customHeight="1">
      <c r="B88" s="23" t="s">
        <v>270</v>
      </c>
      <c r="C88" s="93" t="s">
        <v>278</v>
      </c>
      <c r="D88" s="97"/>
      <c r="E88" s="97"/>
    </row>
    <row r="89" spans="2:5" ht="32.1" customHeight="1">
      <c r="B89" s="23" t="s">
        <v>270</v>
      </c>
      <c r="C89" s="93" t="s">
        <v>279</v>
      </c>
      <c r="D89" s="97"/>
      <c r="E89" s="97"/>
    </row>
    <row r="90" spans="2:5" ht="32.1" customHeight="1">
      <c r="B90" s="23" t="s">
        <v>270</v>
      </c>
      <c r="C90" s="93" t="s">
        <v>280</v>
      </c>
      <c r="D90" s="97"/>
      <c r="E90" s="97"/>
    </row>
    <row r="91" spans="2:5" ht="32.1" customHeight="1">
      <c r="B91" s="23" t="s">
        <v>270</v>
      </c>
      <c r="C91" s="93" t="s">
        <v>281</v>
      </c>
      <c r="D91" s="97"/>
      <c r="E91" s="97"/>
    </row>
    <row r="92" spans="2:5" ht="32.1" customHeight="1">
      <c r="B92" s="23" t="s">
        <v>270</v>
      </c>
      <c r="C92" s="93" t="s">
        <v>282</v>
      </c>
      <c r="D92" s="97"/>
      <c r="E92" s="97"/>
    </row>
    <row r="93" spans="2:5" ht="32.1" customHeight="1">
      <c r="B93" s="23" t="s">
        <v>270</v>
      </c>
      <c r="C93" s="93" t="s">
        <v>283</v>
      </c>
      <c r="D93" s="97"/>
      <c r="E93" s="97"/>
    </row>
  </sheetData>
  <sheetProtection password="86E8" sheet="1" objects="1" scenarios="1" formatColumns="0" formatRows="0"/>
  <mergeCells count="26">
    <mergeCell ref="C93:E93"/>
    <mergeCell ref="C84:E84"/>
    <mergeCell ref="C9:E9"/>
    <mergeCell ref="C90:E90"/>
    <mergeCell ref="C92:E92"/>
    <mergeCell ref="C91:E91"/>
    <mergeCell ref="C81:E81"/>
    <mergeCell ref="C13:E13"/>
    <mergeCell ref="C18:E18"/>
    <mergeCell ref="C87:E87"/>
    <mergeCell ref="C86:E86"/>
    <mergeCell ref="C83:E83"/>
    <mergeCell ref="C15:E15"/>
    <mergeCell ref="C16:E16"/>
    <mergeCell ref="C89:E89"/>
    <mergeCell ref="C4:E4"/>
    <mergeCell ref="C88:E88"/>
    <mergeCell ref="C85:E85"/>
    <mergeCell ref="C6:E6"/>
    <mergeCell ref="C10:E10"/>
    <mergeCell ref="C14:E14"/>
    <mergeCell ref="C5:E5"/>
    <mergeCell ref="C8:E8"/>
    <mergeCell ref="C17:E17"/>
    <mergeCell ref="C82:E82"/>
    <mergeCell ref="C7:E7"/>
  </mergeCells>
  <pageMargins left="0.75" right="0.75" top="1" bottom="1"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6DF40"/>
    <pageSetUpPr fitToPage="1"/>
  </sheetPr>
  <dimension ref="B1:I35"/>
  <sheetViews>
    <sheetView showGridLines="0" workbookViewId="0"/>
  </sheetViews>
  <sheetFormatPr defaultRowHeight="15"/>
  <cols>
    <col min="1" max="1" width="2" customWidth="1"/>
    <col min="2" max="2" width="58" customWidth="1"/>
    <col min="3" max="4" width="17" customWidth="1"/>
    <col min="5" max="5" width="19" customWidth="1"/>
    <col min="6" max="7" width="17" customWidth="1"/>
    <col min="8" max="8" width="21" customWidth="1"/>
    <col min="9" max="9" width="19" customWidth="1"/>
  </cols>
  <sheetData>
    <row r="1" spans="2:9" ht="27.95" customHeight="1">
      <c r="B1" s="22" t="s">
        <v>284</v>
      </c>
      <c r="C1" s="22"/>
      <c r="D1" s="22"/>
      <c r="E1" s="22"/>
      <c r="F1" s="22"/>
      <c r="G1" s="22"/>
      <c r="H1" s="22"/>
      <c r="I1" s="22"/>
    </row>
    <row r="2" spans="2:9" ht="30" customHeight="1">
      <c r="B2" s="93" t="s">
        <v>285</v>
      </c>
      <c r="C2" s="97"/>
      <c r="D2" s="97"/>
      <c r="E2" s="97"/>
      <c r="F2" s="97"/>
      <c r="G2" s="97"/>
      <c r="H2" s="97"/>
      <c r="I2" s="97"/>
    </row>
    <row r="4" spans="2:9" ht="22.5">
      <c r="B4" s="25" t="s">
        <v>286</v>
      </c>
      <c r="C4" s="26" t="s">
        <v>26</v>
      </c>
      <c r="D4" s="26" t="s">
        <v>28</v>
      </c>
      <c r="E4" s="26" t="s">
        <v>30</v>
      </c>
      <c r="F4" s="26" t="s">
        <v>32</v>
      </c>
      <c r="G4" s="26" t="s">
        <v>34</v>
      </c>
      <c r="H4" s="26" t="s">
        <v>36</v>
      </c>
      <c r="I4" s="26" t="s">
        <v>38</v>
      </c>
    </row>
    <row r="5" spans="2:9">
      <c r="B5" s="27" t="s">
        <v>287</v>
      </c>
      <c r="C5" s="28" t="str">
        <f>'S1 CBS-OD'!$F$18</f>
        <v>Ghana</v>
      </c>
      <c r="D5" s="28" t="str">
        <f>'S2 Pit service'!$F$18</f>
        <v>Ghana</v>
      </c>
      <c r="E5" s="28" t="str">
        <f>'S2M Pit measured'!$F$18</f>
        <v>Ghana</v>
      </c>
      <c r="F5" s="28" t="str">
        <f>'S3 Septic-AD'!$F$18</f>
        <v>India</v>
      </c>
      <c r="G5" s="28" t="str">
        <f>'S4 Mixed urban'!$F$18</f>
        <v>India</v>
      </c>
      <c r="H5" s="28" t="str">
        <f>'S4M Mixed measured'!$F$18</f>
        <v>India</v>
      </c>
      <c r="I5" s="28" t="str">
        <f>'S5 Refugee camp'!$F$18</f>
        <v>Ghana</v>
      </c>
    </row>
    <row r="6" spans="2:9">
      <c r="B6" s="27" t="s">
        <v>288</v>
      </c>
      <c r="C6" s="29">
        <f>'S1 CBS-OD'!$F$43</f>
        <v>10</v>
      </c>
      <c r="D6" s="29">
        <f>'S2 Pit service'!$F$43</f>
        <v>10</v>
      </c>
      <c r="E6" s="29">
        <f>'S2M Pit measured'!$F$43</f>
        <v>10</v>
      </c>
      <c r="F6" s="29">
        <f>'S3 Septic-AD'!$F$43</f>
        <v>15</v>
      </c>
      <c r="G6" s="29">
        <f>'S4 Mixed urban'!$F$43</f>
        <v>12</v>
      </c>
      <c r="H6" s="29">
        <f>'S4M Mixed measured'!$F$43</f>
        <v>12</v>
      </c>
      <c r="I6" s="29">
        <f>'S5 Refugee camp'!$F$43</f>
        <v>10</v>
      </c>
    </row>
    <row r="7" spans="2:9">
      <c r="B7" s="27" t="s">
        <v>289</v>
      </c>
      <c r="C7" s="29">
        <f>'S1 CBS-OD'!$F$44</f>
        <v>0</v>
      </c>
      <c r="D7" s="29">
        <f>'S2 Pit service'!$F$44</f>
        <v>0</v>
      </c>
      <c r="E7" s="29">
        <f>'S2M Pit measured'!$F$44</f>
        <v>0</v>
      </c>
      <c r="F7" s="29">
        <f>'S3 Septic-AD'!$F$44</f>
        <v>0</v>
      </c>
      <c r="G7" s="29">
        <f>'S4 Mixed urban'!$F$44</f>
        <v>0</v>
      </c>
      <c r="H7" s="29">
        <f>'S4M Mixed measured'!$F$44</f>
        <v>0</v>
      </c>
      <c r="I7" s="29">
        <f>'S5 Refugee camp'!$F$44</f>
        <v>8</v>
      </c>
    </row>
    <row r="8" spans="2:9">
      <c r="B8" s="30" t="s">
        <v>290</v>
      </c>
      <c r="C8" s="31">
        <f>'S1 CBS-OD'!F6</f>
        <v>9942.187144698979</v>
      </c>
      <c r="D8" s="31">
        <f>'S2 Pit service'!F6</f>
        <v>54746.92887275172</v>
      </c>
      <c r="E8" s="31">
        <f>'S2M Pit measured'!F6</f>
        <v>74156.859475793026</v>
      </c>
      <c r="F8" s="31">
        <f>'S3 Septic-AD'!F6</f>
        <v>58914.878078257025</v>
      </c>
      <c r="G8" s="31">
        <f>'S4 Mixed urban'!F6</f>
        <v>112509.17937713875</v>
      </c>
      <c r="H8" s="31">
        <f>'S4M Mixed measured'!F6</f>
        <v>159330.33573534398</v>
      </c>
      <c r="I8" s="31">
        <f>'S5 Refugee camp'!F6</f>
        <v>7323.2194601565407</v>
      </c>
    </row>
    <row r="9" spans="2:9" ht="22.5">
      <c r="B9" s="30" t="s">
        <v>291</v>
      </c>
      <c r="C9" s="31">
        <f>'S1 CBS-OD'!F7</f>
        <v>9942.187144698979</v>
      </c>
      <c r="D9" s="31">
        <f>'S2 Pit service'!F7</f>
        <v>54746.92887275172</v>
      </c>
      <c r="E9" s="31">
        <f>'S2M Pit measured'!F7</f>
        <v>74156.859475793026</v>
      </c>
      <c r="F9" s="31">
        <f>'S3 Septic-AD'!F7</f>
        <v>37112.215455646685</v>
      </c>
      <c r="G9" s="31">
        <f>'S4 Mixed urban'!F7</f>
        <v>92038.893604291239</v>
      </c>
      <c r="H9" s="31">
        <f>'S4M Mixed measured'!F7</f>
        <v>130755.36834063972</v>
      </c>
      <c r="I9" s="31">
        <f>'S5 Refugee camp'!F7</f>
        <v>7323.2194601565407</v>
      </c>
    </row>
    <row r="10" spans="2:9">
      <c r="B10" s="27" t="s">
        <v>292</v>
      </c>
      <c r="C10" s="32">
        <f>'S1 CBS-OD'!F8</f>
        <v>994.21871446989792</v>
      </c>
      <c r="D10" s="32">
        <f>'S2 Pit service'!F8</f>
        <v>5474.6928872751723</v>
      </c>
      <c r="E10" s="32">
        <f>'S2M Pit measured'!F8</f>
        <v>7415.6859475793026</v>
      </c>
      <c r="F10" s="32">
        <f>'S3 Septic-AD'!F8</f>
        <v>3927.6585385504682</v>
      </c>
      <c r="G10" s="32">
        <f>'S4 Mixed urban'!F8</f>
        <v>9375.7649480948949</v>
      </c>
      <c r="H10" s="32">
        <f>'S4M Mixed measured'!F8</f>
        <v>13277.527977945332</v>
      </c>
      <c r="I10" s="32">
        <f>'S5 Refugee camp'!F8</f>
        <v>915.40243251956758</v>
      </c>
    </row>
    <row r="11" spans="2:9">
      <c r="B11" s="27" t="s">
        <v>293</v>
      </c>
      <c r="C11" s="32">
        <f>'S1 CBS-OD'!F9</f>
        <v>16543.968863469836</v>
      </c>
      <c r="D11" s="32">
        <f>'S2 Pit service'!F9</f>
        <v>63428.659806251897</v>
      </c>
      <c r="E11" s="32">
        <f>'S2M Pit measured'!F9</f>
        <v>83192.513686315608</v>
      </c>
      <c r="F11" s="32">
        <f>'S3 Septic-AD'!F9</f>
        <v>94713.944089927638</v>
      </c>
      <c r="G11" s="32">
        <f>'S4 Mixed urban'!F9</f>
        <v>151527.22836834088</v>
      </c>
      <c r="H11" s="32">
        <f>'S4M Mixed measured'!F9</f>
        <v>193957.78472654603</v>
      </c>
      <c r="I11" s="32">
        <f>'S5 Refugee camp'!F9</f>
        <v>10106.059175330076</v>
      </c>
    </row>
    <row r="12" spans="2:9">
      <c r="B12" s="27" t="s">
        <v>294</v>
      </c>
      <c r="C12" s="32">
        <f>'S1 CBS-OD'!F10</f>
        <v>4340.0961858000001</v>
      </c>
      <c r="D12" s="32">
        <f>'S2 Pit service'!F10</f>
        <v>5500.5309335001775</v>
      </c>
      <c r="E12" s="32">
        <f>'S2M Pit measured'!F10</f>
        <v>5854.454210522571</v>
      </c>
      <c r="F12" s="32">
        <f>'S3 Septic-AD'!F10</f>
        <v>12543.4053130706</v>
      </c>
      <c r="G12" s="32">
        <f>'S4 Mixed urban'!F10</f>
        <v>33011.44899120208</v>
      </c>
      <c r="H12" s="32">
        <f>'S4M Mixed measured'!F10</f>
        <v>28620.848991202081</v>
      </c>
      <c r="I12" s="32">
        <f>'S5 Refugee camp'!F10</f>
        <v>1444.3397151735367</v>
      </c>
    </row>
    <row r="13" spans="2:9">
      <c r="B13" s="27" t="s">
        <v>295</v>
      </c>
      <c r="C13" s="32">
        <f>'S1 CBS-OD'!F11</f>
        <v>2357.4</v>
      </c>
      <c r="D13" s="32">
        <f>'S2 Pit service'!F11</f>
        <v>3181.2</v>
      </c>
      <c r="E13" s="32">
        <f>'S2M Pit measured'!F11</f>
        <v>3181.2</v>
      </c>
      <c r="F13" s="32">
        <f>'S3 Septic-AD'!F11</f>
        <v>23255.660698600001</v>
      </c>
      <c r="G13" s="32">
        <f>'S4 Mixed urban'!F11</f>
        <v>6006.6</v>
      </c>
      <c r="H13" s="32">
        <f>'S4M Mixed measured'!F11</f>
        <v>6006.6</v>
      </c>
      <c r="I13" s="32">
        <f>'S5 Refugee camp'!F11</f>
        <v>1338.5</v>
      </c>
    </row>
    <row r="14" spans="2:9">
      <c r="B14" s="27" t="s">
        <v>296</v>
      </c>
      <c r="C14" s="32">
        <f>'S1 CBS-OD'!F12</f>
        <v>541.93913829263454</v>
      </c>
      <c r="D14" s="32">
        <f>'S2 Pit service'!F12</f>
        <v>2059.4118513023986</v>
      </c>
      <c r="E14" s="32">
        <f>'S2M Pit measured'!F12</f>
        <v>2701.1079822701422</v>
      </c>
      <c r="F14" s="32">
        <f>'S3 Septic-AD'!F12</f>
        <v>2214.4748376643161</v>
      </c>
      <c r="G14" s="32">
        <f>'S4 Mixed urban'!F12</f>
        <v>3650.8107758684673</v>
      </c>
      <c r="H14" s="32">
        <f>'S4M Mixed measured'!F12</f>
        <v>4673.224784166714</v>
      </c>
      <c r="I14" s="32">
        <f>'S5 Refugee camp'!F12</f>
        <v>335.97352517060438</v>
      </c>
    </row>
    <row r="15" spans="2:9">
      <c r="B15" s="27" t="s">
        <v>297</v>
      </c>
      <c r="C15" s="29">
        <f>'S1 CBS-OD'!F13</f>
        <v>1</v>
      </c>
      <c r="D15" s="29">
        <f>'S2 Pit service'!F13</f>
        <v>0</v>
      </c>
      <c r="E15" s="29">
        <f>'S2M Pit measured'!F13</f>
        <v>0</v>
      </c>
      <c r="F15" s="29">
        <f>'S3 Septic-AD'!F13</f>
        <v>0</v>
      </c>
      <c r="G15" s="29">
        <f>'S4 Mixed urban'!F13</f>
        <v>0</v>
      </c>
      <c r="H15" s="29">
        <f>'S4M Mixed measured'!F13</f>
        <v>0</v>
      </c>
      <c r="I15" s="29">
        <f>'S5 Refugee camp'!F13</f>
        <v>0</v>
      </c>
    </row>
    <row r="16" spans="2:9" ht="30" customHeight="1">
      <c r="B16" s="27" t="s">
        <v>298</v>
      </c>
      <c r="C16" s="28" t="str">
        <f>'S1 CBS-OD'!F14</f>
        <v>No input issues found</v>
      </c>
      <c r="D16" s="28" t="str">
        <f>'S2 Pit service'!F14</f>
        <v>No input issues found</v>
      </c>
      <c r="E16" s="28" t="str">
        <f>'S2M Pit measured'!F14</f>
        <v>No input issues found</v>
      </c>
      <c r="F16" s="28" t="str">
        <f>'S3 Septic-AD'!F14</f>
        <v>No input issues found</v>
      </c>
      <c r="G16" s="28" t="str">
        <f>'S4 Mixed urban'!F14</f>
        <v>No input issues found</v>
      </c>
      <c r="H16" s="28" t="str">
        <f>'S4M Mixed measured'!F14</f>
        <v>No input issues found</v>
      </c>
      <c r="I16" s="28" t="str">
        <f>'S5 Refugee camp'!F14</f>
        <v>No input issues found</v>
      </c>
    </row>
    <row r="17" spans="2:9">
      <c r="B17" s="27" t="s">
        <v>299</v>
      </c>
      <c r="C17" s="33"/>
      <c r="D17" s="33"/>
      <c r="E17" s="34">
        <f>E9-D9</f>
        <v>19409.930603041306</v>
      </c>
      <c r="F17" s="33"/>
      <c r="G17" s="33"/>
      <c r="H17" s="34">
        <f>H9-G9</f>
        <v>38716.474736348478</v>
      </c>
      <c r="I17" s="33"/>
    </row>
    <row r="19" spans="2:9" ht="20.100000000000001" customHeight="1">
      <c r="B19" s="20" t="s">
        <v>300</v>
      </c>
      <c r="C19" s="20"/>
      <c r="D19" s="20"/>
      <c r="E19" s="20"/>
      <c r="F19" s="20"/>
      <c r="G19" s="20"/>
      <c r="H19" s="20"/>
      <c r="I19" s="20"/>
    </row>
    <row r="20" spans="2:9">
      <c r="B20" s="25" t="s">
        <v>301</v>
      </c>
      <c r="C20" s="26" t="s">
        <v>302</v>
      </c>
      <c r="D20" s="26" t="s">
        <v>303</v>
      </c>
      <c r="E20" s="26" t="s">
        <v>304</v>
      </c>
      <c r="F20" s="26" t="s">
        <v>305</v>
      </c>
      <c r="G20" s="26" t="s">
        <v>306</v>
      </c>
      <c r="H20" s="26" t="s">
        <v>307</v>
      </c>
      <c r="I20" s="26" t="s">
        <v>308</v>
      </c>
    </row>
    <row r="21" spans="2:9">
      <c r="B21" s="35">
        <v>1</v>
      </c>
      <c r="C21" s="32">
        <f>'S1 CBS-OD'!G244</f>
        <v>0</v>
      </c>
      <c r="D21" s="32">
        <f>'S2 Pit service'!G244</f>
        <v>2066.7410737624741</v>
      </c>
      <c r="E21" s="32">
        <f>'S2M Pit measured'!G244</f>
        <v>2917.6496543284488</v>
      </c>
      <c r="F21" s="32">
        <f>'S3 Septic-AD'!G244</f>
        <v>1415.3474039029968</v>
      </c>
      <c r="G21" s="32">
        <f>'S4 Mixed urban'!G244</f>
        <v>3962.0247907659646</v>
      </c>
      <c r="H21" s="32">
        <f>'S4M Mixed measured'!G244</f>
        <v>6694.3500065812032</v>
      </c>
      <c r="I21" s="32">
        <f>'S5 Refugee camp'!G244</f>
        <v>303.53732176016445</v>
      </c>
    </row>
    <row r="22" spans="2:9">
      <c r="B22" s="35">
        <v>2</v>
      </c>
      <c r="C22" s="32">
        <f>'S1 CBS-OD'!H244</f>
        <v>444.34189456569084</v>
      </c>
      <c r="D22" s="32">
        <f>'S2 Pit service'!H244</f>
        <v>4618.1667886739979</v>
      </c>
      <c r="E22" s="32">
        <f>'S2M Pit measured'!H244</f>
        <v>6311.0164297116162</v>
      </c>
      <c r="F22" s="32">
        <f>'S3 Septic-AD'!H244</f>
        <v>2290.3134544564118</v>
      </c>
      <c r="G22" s="32">
        <f>'S4 Mixed urban'!H244</f>
        <v>7695.6335150379109</v>
      </c>
      <c r="H22" s="32">
        <f>'S4M Mixed measured'!H244</f>
        <v>11240.885913563741</v>
      </c>
      <c r="I22" s="32">
        <f>'S5 Refugee camp'!H244</f>
        <v>721.63663677917384</v>
      </c>
    </row>
    <row r="23" spans="2:9">
      <c r="B23" s="35">
        <v>3</v>
      </c>
      <c r="C23" s="32">
        <f>'S1 CBS-OD'!I244</f>
        <v>932.97550771080012</v>
      </c>
      <c r="D23" s="32">
        <f>'S2 Pit service'!I244</f>
        <v>6045.6498395445124</v>
      </c>
      <c r="E23" s="32">
        <f>'S2M Pit measured'!I244</f>
        <v>8152.4879092855044</v>
      </c>
      <c r="F23" s="32">
        <f>'S3 Septic-AD'!I244</f>
        <v>3258.0060802915223</v>
      </c>
      <c r="G23" s="32">
        <f>'S4 Mixed urban'!I244</f>
        <v>10053.822886423759</v>
      </c>
      <c r="H23" s="32">
        <f>'S4M Mixed measured'!I244</f>
        <v>14106.163697352131</v>
      </c>
      <c r="I23" s="32">
        <f>'S5 Refugee camp'!I244</f>
        <v>1124.0012497143141</v>
      </c>
    </row>
    <row r="24" spans="2:9">
      <c r="B24" s="35">
        <v>4</v>
      </c>
      <c r="C24" s="32">
        <f>'S1 CBS-OD'!J244</f>
        <v>1089.1253498275937</v>
      </c>
      <c r="D24" s="32">
        <f>'S2 Pit service'!J244</f>
        <v>5885.6498395445124</v>
      </c>
      <c r="E24" s="32">
        <f>'S2M Pit measured'!J244</f>
        <v>7992.4879092855044</v>
      </c>
      <c r="F24" s="32">
        <f>'S3 Septic-AD'!J244</f>
        <v>4158.3330646594559</v>
      </c>
      <c r="G24" s="32">
        <f>'S4 Mixed urban'!J244</f>
        <v>9693.822886423759</v>
      </c>
      <c r="H24" s="32">
        <f>'S4M Mixed measured'!J244</f>
        <v>13746.163697352131</v>
      </c>
      <c r="I24" s="32">
        <f>'S5 Refugee camp'!J244</f>
        <v>1011.2191097072947</v>
      </c>
    </row>
    <row r="25" spans="2:9">
      <c r="B25" s="35">
        <v>5</v>
      </c>
      <c r="C25" s="32">
        <f>'S1 CBS-OD'!K244</f>
        <v>1121.4975173622715</v>
      </c>
      <c r="D25" s="32">
        <f>'S2 Pit service'!K244</f>
        <v>5885.9025518732797</v>
      </c>
      <c r="E25" s="32">
        <f>'S2M Pit measured'!K244</f>
        <v>7992.7406216142717</v>
      </c>
      <c r="F25" s="32">
        <f>'S3 Septic-AD'!K244</f>
        <v>4158.9105989060308</v>
      </c>
      <c r="G25" s="32">
        <f>'S4 Mixed urban'!K244</f>
        <v>9934.4840371086902</v>
      </c>
      <c r="H25" s="32">
        <f>'S4M Mixed measured'!K244</f>
        <v>13986.824848037062</v>
      </c>
      <c r="I25" s="32">
        <f>'S5 Refugee camp'!K244</f>
        <v>990.41923884336552</v>
      </c>
    </row>
    <row r="26" spans="2:9">
      <c r="B26" s="35">
        <v>6</v>
      </c>
      <c r="C26" s="32">
        <f>'S1 CBS-OD'!L244</f>
        <v>1275.2955995540524</v>
      </c>
      <c r="D26" s="32">
        <f>'S2 Pit service'!L244</f>
        <v>6155.5746303597016</v>
      </c>
      <c r="E26" s="32">
        <f>'S2M Pit measured'!L244</f>
        <v>8268.1466118555891</v>
      </c>
      <c r="F26" s="32">
        <f>'S3 Septic-AD'!L244</f>
        <v>4383.5725557533469</v>
      </c>
      <c r="G26" s="32">
        <f>'S4 Mixed urban'!L244</f>
        <v>10326.838414629941</v>
      </c>
      <c r="H26" s="32">
        <f>'S4M Mixed measured'!L244</f>
        <v>14389.264542848527</v>
      </c>
      <c r="I26" s="32">
        <f>'S5 Refugee camp'!L244</f>
        <v>1181.7612963971494</v>
      </c>
    </row>
    <row r="27" spans="2:9">
      <c r="B27" s="35">
        <v>7</v>
      </c>
      <c r="C27" s="32">
        <f>'S1 CBS-OD'!M244</f>
        <v>1282.5187235917567</v>
      </c>
      <c r="D27" s="32">
        <f>'S2 Pit service'!M244</f>
        <v>5977.8898395445121</v>
      </c>
      <c r="E27" s="32">
        <f>'S2M Pit measured'!M244</f>
        <v>8084.7279092855042</v>
      </c>
      <c r="F27" s="32">
        <f>'S3 Septic-AD'!M244</f>
        <v>4369.1725167142504</v>
      </c>
      <c r="G27" s="32">
        <f>'S4 Mixed urban'!M244</f>
        <v>9935.1428864237587</v>
      </c>
      <c r="H27" s="32">
        <f>'S4M Mixed measured'!M244</f>
        <v>13987.483697352131</v>
      </c>
      <c r="I27" s="32">
        <f>'S5 Refugee camp'!M244</f>
        <v>1007.8787966282241</v>
      </c>
    </row>
    <row r="28" spans="2:9">
      <c r="B28" s="35">
        <v>8</v>
      </c>
      <c r="C28" s="32">
        <f>'S1 CBS-OD'!N244</f>
        <v>1202.9775173622716</v>
      </c>
      <c r="D28" s="32">
        <f>'S2 Pit service'!N244</f>
        <v>5977.8898395445121</v>
      </c>
      <c r="E28" s="32">
        <f>'S2M Pit measured'!N244</f>
        <v>8084.7279092855042</v>
      </c>
      <c r="F28" s="32">
        <f>'S3 Septic-AD'!N244</f>
        <v>4383.5330646594557</v>
      </c>
      <c r="G28" s="32">
        <f>'S4 Mixed urban'!N244</f>
        <v>10175.142886423759</v>
      </c>
      <c r="H28" s="32">
        <f>'S4M Mixed measured'!N244</f>
        <v>14227.483697352131</v>
      </c>
      <c r="I28" s="32">
        <f>'S5 Refugee camp'!N244</f>
        <v>982.76581032685408</v>
      </c>
    </row>
    <row r="29" spans="2:9">
      <c r="B29" s="35">
        <v>9</v>
      </c>
      <c r="C29" s="32">
        <f>'S1 CBS-OD'!O244</f>
        <v>1315.4775173622716</v>
      </c>
      <c r="D29" s="32">
        <f>'S2 Pit service'!O244</f>
        <v>6137.8898395445121</v>
      </c>
      <c r="E29" s="32">
        <f>'S2M Pit measured'!O244</f>
        <v>8244.7279092855042</v>
      </c>
      <c r="F29" s="32">
        <f>'S3 Septic-AD'!O244</f>
        <v>4340.3330646594559</v>
      </c>
      <c r="G29" s="32">
        <f>'S4 Mixed urban'!O244</f>
        <v>10295.142886423759</v>
      </c>
      <c r="H29" s="32">
        <f>'S4M Mixed measured'!O244</f>
        <v>14347.483697352131</v>
      </c>
      <c r="I29" s="32">
        <f>'S5 Refugee camp'!O244</f>
        <v>0</v>
      </c>
    </row>
    <row r="30" spans="2:9">
      <c r="B30" s="35">
        <v>10</v>
      </c>
      <c r="C30" s="32">
        <f>'S1 CBS-OD'!P244</f>
        <v>1277.9775173622716</v>
      </c>
      <c r="D30" s="32">
        <f>'S2 Pit service'!P244</f>
        <v>5995.5746303597016</v>
      </c>
      <c r="E30" s="32">
        <f>'S2M Pit measured'!P244</f>
        <v>8108.1466118555891</v>
      </c>
      <c r="F30" s="32">
        <f>'S3 Septic-AD'!P244</f>
        <v>4354.6936516437581</v>
      </c>
      <c r="G30" s="32">
        <f>'S4 Mixed urban'!P244</f>
        <v>9966.8384146299413</v>
      </c>
      <c r="H30" s="32">
        <f>'S4M Mixed measured'!P244</f>
        <v>14029.264542848527</v>
      </c>
      <c r="I30" s="32">
        <f>'S5 Refugee camp'!P244</f>
        <v>0</v>
      </c>
    </row>
    <row r="31" spans="2:9">
      <c r="B31" s="35">
        <v>11</v>
      </c>
      <c r="C31" s="32">
        <f>'S1 CBS-OD'!Q244</f>
        <v>0</v>
      </c>
      <c r="D31" s="32">
        <f>'S2 Pit service'!Q244</f>
        <v>0</v>
      </c>
      <c r="E31" s="32">
        <f>'S2M Pit measured'!Q244</f>
        <v>0</v>
      </c>
      <c r="F31" s="32">
        <f>'S3 Septic-AD'!Q244</f>
        <v>4340.3330646594559</v>
      </c>
      <c r="G31" s="32">
        <f>'S4 Mixed urban'!Q244</f>
        <v>10175.142886423759</v>
      </c>
      <c r="H31" s="32">
        <f>'S4M Mixed measured'!Q244</f>
        <v>14227.483697352131</v>
      </c>
      <c r="I31" s="32">
        <f>'S5 Refugee camp'!Q244</f>
        <v>0</v>
      </c>
    </row>
    <row r="32" spans="2:9">
      <c r="B32" s="35">
        <v>12</v>
      </c>
      <c r="C32" s="32">
        <f>'S1 CBS-OD'!R244</f>
        <v>0</v>
      </c>
      <c r="D32" s="32">
        <f>'S2 Pit service'!R244</f>
        <v>0</v>
      </c>
      <c r="E32" s="32">
        <f>'S2M Pit measured'!R244</f>
        <v>0</v>
      </c>
      <c r="F32" s="32">
        <f>'S3 Septic-AD'!R244</f>
        <v>4340.3330646594559</v>
      </c>
      <c r="G32" s="32">
        <f>'S4 Mixed urban'!R244</f>
        <v>10295.142886423759</v>
      </c>
      <c r="H32" s="32">
        <f>'S4M Mixed measured'!R244</f>
        <v>14347.483697352131</v>
      </c>
      <c r="I32" s="32">
        <f>'S5 Refugee camp'!R244</f>
        <v>0</v>
      </c>
    </row>
    <row r="33" spans="2:9">
      <c r="B33" s="35">
        <v>13</v>
      </c>
      <c r="C33" s="32">
        <f>'S1 CBS-OD'!S244</f>
        <v>0</v>
      </c>
      <c r="D33" s="32">
        <f>'S2 Pit service'!S244</f>
        <v>0</v>
      </c>
      <c r="E33" s="32">
        <f>'S2M Pit measured'!S244</f>
        <v>0</v>
      </c>
      <c r="F33" s="32">
        <f>'S3 Septic-AD'!S244</f>
        <v>4340.4514208238397</v>
      </c>
      <c r="G33" s="32">
        <f>'S4 Mixed urban'!S244</f>
        <v>0</v>
      </c>
      <c r="H33" s="32">
        <f>'S4M Mixed measured'!S244</f>
        <v>0</v>
      </c>
      <c r="I33" s="32">
        <f>'S5 Refugee camp'!S244</f>
        <v>0</v>
      </c>
    </row>
    <row r="34" spans="2:9">
      <c r="B34" s="35">
        <v>14</v>
      </c>
      <c r="C34" s="32">
        <f>'S1 CBS-OD'!T244</f>
        <v>0</v>
      </c>
      <c r="D34" s="32">
        <f>'S2 Pit service'!T244</f>
        <v>0</v>
      </c>
      <c r="E34" s="32">
        <f>'S2M Pit measured'!T244</f>
        <v>0</v>
      </c>
      <c r="F34" s="32">
        <f>'S3 Septic-AD'!T244</f>
        <v>4398.0120078081418</v>
      </c>
      <c r="G34" s="32">
        <f>'S4 Mixed urban'!T244</f>
        <v>0</v>
      </c>
      <c r="H34" s="32">
        <f>'S4M Mixed measured'!T244</f>
        <v>0</v>
      </c>
      <c r="I34" s="32">
        <f>'S5 Refugee camp'!T244</f>
        <v>0</v>
      </c>
    </row>
    <row r="35" spans="2:9">
      <c r="B35" s="35">
        <v>15</v>
      </c>
      <c r="C35" s="32">
        <f>'S1 CBS-OD'!U244</f>
        <v>0</v>
      </c>
      <c r="D35" s="32">
        <f>'S2 Pit service'!U244</f>
        <v>0</v>
      </c>
      <c r="E35" s="32">
        <f>'S2M Pit measured'!U244</f>
        <v>0</v>
      </c>
      <c r="F35" s="32">
        <f>'S3 Septic-AD'!U244</f>
        <v>4383.5330646594557</v>
      </c>
      <c r="G35" s="32">
        <f>'S4 Mixed urban'!U244</f>
        <v>0</v>
      </c>
      <c r="H35" s="32">
        <f>'S4M Mixed measured'!U244</f>
        <v>0</v>
      </c>
      <c r="I35" s="32">
        <f>'S5 Refugee camp'!U244</f>
        <v>0</v>
      </c>
    </row>
  </sheetData>
  <sheetProtection password="86E8" sheet="1" objects="1" scenarios="1" formatColumns="0" formatRows="0"/>
  <mergeCells count="1">
    <mergeCell ref="B2:I2"/>
  </mergeCells>
  <hyperlinks>
    <hyperlink ref="C4" location="'S1 CBS-OD'!A1" display="S1 CBS-OD" xr:uid="{00000000-0004-0000-0200-000000000000}"/>
    <hyperlink ref="D4" location="'S2 Pit service'!A1" display="S2 Pit service" xr:uid="{00000000-0004-0000-0200-000001000000}"/>
    <hyperlink ref="E4" location="'S2M Pit measured'!A1" display="S2M Pit measured" xr:uid="{00000000-0004-0000-0200-000002000000}"/>
    <hyperlink ref="F4" location="'S3 Septic-AD'!A1" display="S3 Septic-AD" xr:uid="{00000000-0004-0000-0200-000003000000}"/>
    <hyperlink ref="G4" location="'S4 Mixed urban'!A1" display="S4 Mixed urban" xr:uid="{00000000-0004-0000-0200-000004000000}"/>
    <hyperlink ref="H4" location="'S4M Mixed measured'!A1" display="S4M Mixed measured" xr:uid="{00000000-0004-0000-0200-000005000000}"/>
    <hyperlink ref="I4" location="'S5 Refugee camp'!A1" display="S5 Refugee camp" xr:uid="{00000000-0004-0000-0200-000006000000}"/>
  </hyperlinks>
  <pageMargins left="0.75" right="0.75" top="1" bottom="1" header="0.5" footer="0.5"/>
  <pageSetup paperSize="9"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9BD"/>
    <pageSetUpPr fitToPage="1"/>
  </sheetPr>
  <dimension ref="B1:R20"/>
  <sheetViews>
    <sheetView showGridLines="0" workbookViewId="0">
      <pane xSplit="2" ySplit="4" topLeftCell="C5" activePane="bottomRight" state="frozen"/>
      <selection pane="bottomRight"/>
      <selection pane="bottomLeft"/>
      <selection pane="topRight"/>
    </sheetView>
  </sheetViews>
  <sheetFormatPr defaultRowHeight="15"/>
  <cols>
    <col min="1" max="1" width="2" customWidth="1"/>
    <col min="2" max="2" width="50" customWidth="1"/>
    <col min="3" max="3" width="11" customWidth="1"/>
    <col min="4" max="5" width="10" customWidth="1"/>
    <col min="6" max="6" width="9" customWidth="1"/>
    <col min="7" max="8" width="8" customWidth="1"/>
    <col min="9" max="9" width="10" customWidth="1"/>
    <col min="10" max="11" width="11" customWidth="1"/>
    <col min="12" max="12" width="12" customWidth="1"/>
    <col min="13" max="16" width="13" customWidth="1"/>
    <col min="17" max="17" width="15" customWidth="1"/>
    <col min="18" max="18" width="46" customWidth="1"/>
  </cols>
  <sheetData>
    <row r="1" spans="2:18" ht="27.95" customHeight="1">
      <c r="B1" s="22" t="s">
        <v>309</v>
      </c>
      <c r="C1" s="22"/>
      <c r="D1" s="22"/>
      <c r="E1" s="22"/>
      <c r="F1" s="22"/>
      <c r="G1" s="22"/>
      <c r="H1" s="22"/>
      <c r="I1" s="22"/>
      <c r="J1" s="22"/>
      <c r="K1" s="22"/>
      <c r="L1" s="22"/>
      <c r="M1" s="22"/>
      <c r="N1" s="22"/>
      <c r="O1" s="22"/>
      <c r="P1" s="22"/>
      <c r="Q1" s="22"/>
      <c r="R1" s="22"/>
    </row>
    <row r="2" spans="2:18" ht="51.95" customHeight="1">
      <c r="B2" s="93" t="s">
        <v>310</v>
      </c>
      <c r="C2" s="97"/>
      <c r="D2" s="97"/>
      <c r="E2" s="97"/>
      <c r="F2" s="97"/>
      <c r="G2" s="97"/>
      <c r="H2" s="97"/>
      <c r="I2" s="97"/>
      <c r="J2" s="97"/>
      <c r="K2" s="97"/>
      <c r="L2" s="97"/>
      <c r="M2" s="97"/>
      <c r="N2" s="97"/>
      <c r="O2" s="97"/>
      <c r="P2" s="97"/>
      <c r="Q2" s="97"/>
      <c r="R2" s="97"/>
    </row>
    <row r="4" spans="2:18" ht="51.95" customHeight="1">
      <c r="B4" s="25" t="s">
        <v>311</v>
      </c>
      <c r="C4" s="26" t="s">
        <v>312</v>
      </c>
      <c r="D4" s="26" t="s">
        <v>313</v>
      </c>
      <c r="E4" s="26" t="s">
        <v>237</v>
      </c>
      <c r="F4" s="26" t="s">
        <v>233</v>
      </c>
      <c r="G4" s="26" t="s">
        <v>314</v>
      </c>
      <c r="H4" s="26" t="s">
        <v>315</v>
      </c>
      <c r="I4" s="26" t="s">
        <v>316</v>
      </c>
      <c r="J4" s="26" t="s">
        <v>317</v>
      </c>
      <c r="K4" s="26" t="s">
        <v>318</v>
      </c>
      <c r="L4" s="26" t="s">
        <v>319</v>
      </c>
      <c r="M4" s="26" t="s">
        <v>320</v>
      </c>
      <c r="N4" s="26" t="s">
        <v>321</v>
      </c>
      <c r="O4" s="26" t="s">
        <v>322</v>
      </c>
      <c r="P4" s="26" t="s">
        <v>323</v>
      </c>
      <c r="Q4" s="26" t="s">
        <v>286</v>
      </c>
      <c r="R4" s="26" t="s">
        <v>324</v>
      </c>
    </row>
    <row r="5" spans="2:18" ht="30" customHeight="1">
      <c r="B5" s="27" t="s">
        <v>325</v>
      </c>
      <c r="C5" s="36">
        <f>INDEX(Defaults!$D$32:$D$64,MATCH("Ghana",Defaults!$B$32:$B$64,0))</f>
        <v>3.6999999999999998E-2</v>
      </c>
      <c r="D5" s="36">
        <f>'S1 CBS-OD'!$F$67</f>
        <v>0.30874999999999997</v>
      </c>
      <c r="E5" s="36">
        <f>'S1 CBS-OD'!$F$70</f>
        <v>0.68646610903629535</v>
      </c>
      <c r="F5" s="37">
        <f>INDEX(Defaults!$F$32:$F$64,MATCH("Ghana",Defaults!$B$32:$B$64,0))</f>
        <v>2.76E-2</v>
      </c>
      <c r="G5" s="38">
        <v>0.95</v>
      </c>
      <c r="H5" s="38">
        <v>0.92</v>
      </c>
      <c r="I5" s="39">
        <v>1</v>
      </c>
      <c r="J5" s="40">
        <v>0</v>
      </c>
      <c r="K5" s="40">
        <v>0</v>
      </c>
      <c r="L5" s="41">
        <v>0</v>
      </c>
      <c r="M5" s="42">
        <f>Defaults!$C$133/1000*365*(Defaults!$C$130*Defaults!$D$6+Defaults!$C$131*Defaults!$D$7)/1000</f>
        <v>4.6468150000000001</v>
      </c>
      <c r="N5" s="43">
        <f>365*C5*Defaults!$D$8*Defaults!$D$6*D5*E5*(1-F5)*G5*H5*I5</f>
        <v>40.868276238792419</v>
      </c>
      <c r="O5" s="43">
        <f>365*C5*Defaults!$D$8*Defaults!$D$6*J5*I5+L5*K5*(44/28)*Defaults!$D$7+M5</f>
        <v>4.6468150000000001</v>
      </c>
      <c r="P5" s="31">
        <f t="shared" ref="P5:P18" si="0">N5-O5</f>
        <v>36.221461238792415</v>
      </c>
      <c r="Q5" s="44" t="str">
        <f t="shared" ref="Q5:Q18" si="1">IF(P5&gt;=1,"Earns credits",IF(P5&gt;0,"Marginal","No credits"))</f>
        <v>Earns credits</v>
      </c>
      <c r="R5" s="33"/>
    </row>
    <row r="6" spans="2:18" ht="30" customHeight="1">
      <c r="B6" s="27" t="s">
        <v>326</v>
      </c>
      <c r="C6" s="36">
        <f>INDEX(Defaults!$D$32:$D$64,MATCH("India",Defaults!$B$32:$B$64,0))</f>
        <v>3.4000000000000002E-2</v>
      </c>
      <c r="D6" s="36">
        <f>'S4 Mixed urban'!$F$67</f>
        <v>0.44412499999999999</v>
      </c>
      <c r="E6" s="36">
        <f>'S4 Mixed urban'!$F$70</f>
        <v>0.56999999999999995</v>
      </c>
      <c r="F6" s="37">
        <f>INDEX(Defaults!$F$32:$F$64,MATCH("India",Defaults!$B$32:$B$64,0))</f>
        <v>2.0400000000000001E-2</v>
      </c>
      <c r="G6" s="38">
        <v>0.95</v>
      </c>
      <c r="H6" s="38">
        <v>0.92</v>
      </c>
      <c r="I6" s="39">
        <v>1</v>
      </c>
      <c r="J6" s="40">
        <v>0</v>
      </c>
      <c r="K6" s="40">
        <v>0</v>
      </c>
      <c r="L6" s="41">
        <v>0</v>
      </c>
      <c r="M6" s="42">
        <f>Defaults!$C$133/1000*365*(Defaults!$C$130*Defaults!$D$6+Defaults!$C$131*Defaults!$D$7)/1000</f>
        <v>4.6468150000000001</v>
      </c>
      <c r="N6" s="43">
        <f>365*C6*Defaults!$D$8*Defaults!$D$6*D6*E6*(1-F6)*G6*H6*I6</f>
        <v>45.187815666586822</v>
      </c>
      <c r="O6" s="43">
        <f>365*C6*Defaults!$D$8*Defaults!$D$6*J6*I6+L6*K6*(44/28)*Defaults!$D$7+M6</f>
        <v>4.6468150000000001</v>
      </c>
      <c r="P6" s="31">
        <f t="shared" si="0"/>
        <v>40.541000666586825</v>
      </c>
      <c r="Q6" s="44" t="str">
        <f t="shared" si="1"/>
        <v>Earns credits</v>
      </c>
      <c r="R6" s="33"/>
    </row>
    <row r="7" spans="2:18" ht="30" customHeight="1">
      <c r="B7" s="27" t="s">
        <v>327</v>
      </c>
      <c r="C7" s="36">
        <f>INDEX(Defaults!$D$32:$D$64,MATCH("Ghana",Defaults!$B$32:$B$64,0))</f>
        <v>3.6999999999999998E-2</v>
      </c>
      <c r="D7" s="36">
        <f>INDEX(Defaults!$C$69:$C$79,MATCH("Wet pit latrine",Defaults!$B$69:$B$79,0))</f>
        <v>0.7</v>
      </c>
      <c r="E7" s="36">
        <f>INDEX(Defaults!$H$69:$H$79,MATCH("Wet pit latrine",Defaults!$B$69:$B$79,0))</f>
        <v>0.72</v>
      </c>
      <c r="F7" s="37">
        <f>INDEX(Defaults!$F$32:$F$64,MATCH("Ghana",Defaults!$B$32:$B$64,0))</f>
        <v>2.76E-2</v>
      </c>
      <c r="G7" s="38">
        <v>0.95</v>
      </c>
      <c r="H7" s="38">
        <v>0.92</v>
      </c>
      <c r="I7" s="39">
        <v>1</v>
      </c>
      <c r="J7" s="40">
        <v>0</v>
      </c>
      <c r="K7" s="40">
        <v>0</v>
      </c>
      <c r="L7" s="41">
        <v>0</v>
      </c>
      <c r="M7" s="42">
        <f>Defaults!$C$133/1000*365*(Defaults!$C$130*Defaults!$D$6+Defaults!$C$131*Defaults!$D$7)/1000</f>
        <v>4.6468150000000001</v>
      </c>
      <c r="N7" s="43">
        <f>365*C7*Defaults!$D$8*Defaults!$D$6*D7*E7*(1-F7)*G7*H7*I7</f>
        <v>97.183109216793596</v>
      </c>
      <c r="O7" s="43">
        <f>365*C7*Defaults!$D$8*Defaults!$D$6*J7*I7+L7*K7*(44/28)*Defaults!$D$7+M7</f>
        <v>4.6468150000000001</v>
      </c>
      <c r="P7" s="31">
        <f t="shared" si="0"/>
        <v>92.536294216793593</v>
      </c>
      <c r="Q7" s="44" t="str">
        <f t="shared" si="1"/>
        <v>Earns credits</v>
      </c>
      <c r="R7" s="33"/>
    </row>
    <row r="8" spans="2:18" ht="30" customHeight="1">
      <c r="B8" s="27" t="s">
        <v>328</v>
      </c>
      <c r="C8" s="36">
        <f>INDEX(Defaults!$D$32:$D$64,MATCH("Ghana",Defaults!$B$32:$B$64,0))</f>
        <v>3.6999999999999998E-2</v>
      </c>
      <c r="D8" s="36">
        <f>INDEX(Defaults!$C$69:$C$79,MATCH("Dry pit latrine, &gt; 5 persons per pit",Defaults!$B$69:$B$79,0))</f>
        <v>0.5</v>
      </c>
      <c r="E8" s="36">
        <f>INDEX(Defaults!$H$69:$H$79,MATCH("Dry pit latrine, &gt; 5 persons per pit",Defaults!$B$69:$B$79,0))</f>
        <v>0.69</v>
      </c>
      <c r="F8" s="37">
        <f>INDEX(Defaults!$F$32:$F$64,MATCH("Ghana",Defaults!$B$32:$B$64,0))</f>
        <v>2.76E-2</v>
      </c>
      <c r="G8" s="38">
        <v>0.95</v>
      </c>
      <c r="H8" s="38">
        <v>0.92</v>
      </c>
      <c r="I8" s="39">
        <v>1</v>
      </c>
      <c r="J8" s="40">
        <v>0</v>
      </c>
      <c r="K8" s="40">
        <v>0</v>
      </c>
      <c r="L8" s="41">
        <v>0</v>
      </c>
      <c r="M8" s="42">
        <f>Defaults!$C$133/1000*365*(Defaults!$C$130*Defaults!$D$6+Defaults!$C$131*Defaults!$D$7)/1000</f>
        <v>4.6468150000000001</v>
      </c>
      <c r="N8" s="43">
        <f>365*C8*Defaults!$D$8*Defaults!$D$6*D8*E8*(1-F8)*G8*H8*I8</f>
        <v>66.524152142447988</v>
      </c>
      <c r="O8" s="43">
        <f>365*C8*Defaults!$D$8*Defaults!$D$6*J8*I8+L8*K8*(44/28)*Defaults!$D$7+M8</f>
        <v>4.6468150000000001</v>
      </c>
      <c r="P8" s="31">
        <f t="shared" si="0"/>
        <v>61.877337142447985</v>
      </c>
      <c r="Q8" s="44" t="str">
        <f t="shared" si="1"/>
        <v>Earns credits</v>
      </c>
      <c r="R8" s="33"/>
    </row>
    <row r="9" spans="2:18" ht="30" customHeight="1">
      <c r="B9" s="27" t="s">
        <v>329</v>
      </c>
      <c r="C9" s="36">
        <f>INDEX(Defaults!$D$32:$D$64,MATCH("Ghana",Defaults!$B$32:$B$64,0))</f>
        <v>3.6999999999999998E-2</v>
      </c>
      <c r="D9" s="36">
        <f>INDEX(Defaults!$C$69:$C$79,MATCH("Dry pit latrine, ≤ 5 persons per pit",Defaults!$B$69:$B$79,0))</f>
        <v>0.1</v>
      </c>
      <c r="E9" s="36">
        <f>INDEX(Defaults!$H$69:$H$79,MATCH("Dry pit latrine, ≤ 5 persons per pit",Defaults!$B$69:$B$79,0))</f>
        <v>0.56999999999999995</v>
      </c>
      <c r="F9" s="37">
        <f>INDEX(Defaults!$F$32:$F$64,MATCH("Ghana",Defaults!$B$32:$B$64,0))</f>
        <v>2.76E-2</v>
      </c>
      <c r="G9" s="38">
        <v>0.95</v>
      </c>
      <c r="H9" s="38">
        <v>0.92</v>
      </c>
      <c r="I9" s="39">
        <v>1</v>
      </c>
      <c r="J9" s="40">
        <v>0</v>
      </c>
      <c r="K9" s="40">
        <v>0</v>
      </c>
      <c r="L9" s="41">
        <v>0</v>
      </c>
      <c r="M9" s="42">
        <f>Defaults!$C$133/1000*365*(Defaults!$C$130*Defaults!$D$6+Defaults!$C$131*Defaults!$D$7)/1000</f>
        <v>4.6468150000000001</v>
      </c>
      <c r="N9" s="43">
        <f>365*C9*Defaults!$D$8*Defaults!$D$6*D9*E9*(1-F9)*G9*H9*I9</f>
        <v>10.990946875708799</v>
      </c>
      <c r="O9" s="43">
        <f>365*C9*Defaults!$D$8*Defaults!$D$6*J9*I9+L9*K9*(44/28)*Defaults!$D$7+M9</f>
        <v>4.6468150000000001</v>
      </c>
      <c r="P9" s="31">
        <f t="shared" si="0"/>
        <v>6.3441318757087988</v>
      </c>
      <c r="Q9" s="44" t="str">
        <f t="shared" si="1"/>
        <v>Earns credits</v>
      </c>
      <c r="R9" s="33" t="s">
        <v>330</v>
      </c>
    </row>
    <row r="10" spans="2:18" ht="30" customHeight="1">
      <c r="B10" s="27" t="s">
        <v>331</v>
      </c>
      <c r="C10" s="36">
        <f>INDEX(Defaults!$D$32:$D$64,MATCH("Ghana",Defaults!$B$32:$B$64,0))</f>
        <v>3.6999999999999998E-2</v>
      </c>
      <c r="D10" s="36">
        <f>INDEX(Defaults!$C$69:$C$79,MATCH("Wet pit latrine",Defaults!$B$69:$B$79,0))</f>
        <v>0.7</v>
      </c>
      <c r="E10" s="36">
        <f>INDEX(Defaults!$H$69:$H$79,MATCH("Wet pit latrine",Defaults!$B$69:$B$79,0))</f>
        <v>0.72</v>
      </c>
      <c r="F10" s="37">
        <f>INDEX(Defaults!$F$32:$F$64,MATCH("Ghana",Defaults!$B$32:$B$64,0))</f>
        <v>2.76E-2</v>
      </c>
      <c r="G10" s="38">
        <v>0.95</v>
      </c>
      <c r="H10" s="38">
        <v>0.92</v>
      </c>
      <c r="I10" s="39">
        <v>1</v>
      </c>
      <c r="J10" s="40">
        <v>0.2</v>
      </c>
      <c r="K10" s="40">
        <v>1.6E-2</v>
      </c>
      <c r="L10" s="41">
        <f>INDEX(Defaults!$E$32:$E$64,MATCH("Ghana",Defaults!$B$32:$B$64,0))*365/1000*Defaults!$D$23*I10</f>
        <v>3.9676959999999997</v>
      </c>
      <c r="M10" s="42">
        <v>0</v>
      </c>
      <c r="N10" s="43">
        <f>365*C10*Defaults!$D$8*Defaults!$D$6*D10*E10*(1-F10)*G10*H10*I10</f>
        <v>97.183109216793596</v>
      </c>
      <c r="O10" s="43">
        <f>365*C10*Defaults!$D$8*Defaults!$D$6*J10*I10+L10*K10*(44/28)*Defaults!$D$7+M10</f>
        <v>71.812991634285709</v>
      </c>
      <c r="P10" s="31">
        <f t="shared" si="0"/>
        <v>25.370117582507888</v>
      </c>
      <c r="Q10" s="44" t="str">
        <f t="shared" si="1"/>
        <v>Earns credits</v>
      </c>
      <c r="R10" s="33" t="s">
        <v>332</v>
      </c>
    </row>
    <row r="11" spans="2:18" ht="30" customHeight="1">
      <c r="B11" s="27" t="s">
        <v>333</v>
      </c>
      <c r="C11" s="36">
        <f>INDEX(Defaults!$D$32:$D$64,MATCH("India",Defaults!$B$32:$B$64,0))</f>
        <v>3.4000000000000002E-2</v>
      </c>
      <c r="D11" s="36">
        <f>INDEX(Defaults!$C$69:$C$79,MATCH("Septic tank",Defaults!$B$69:$B$79,0))</f>
        <v>0.55000000000000004</v>
      </c>
      <c r="E11" s="36">
        <f>INDEX(Defaults!$H$69:$H$79,MATCH("Septic tank",Defaults!$B$69:$B$79,0))</f>
        <v>0.67</v>
      </c>
      <c r="F11" s="37">
        <f>INDEX(Defaults!$F$32:$F$64,MATCH("India",Defaults!$B$32:$B$64,0))</f>
        <v>2.0400000000000001E-2</v>
      </c>
      <c r="G11" s="38">
        <v>0.95</v>
      </c>
      <c r="H11" s="38">
        <v>0.92</v>
      </c>
      <c r="I11" s="39">
        <v>0.5</v>
      </c>
      <c r="J11" s="40">
        <v>0</v>
      </c>
      <c r="K11" s="40">
        <v>0</v>
      </c>
      <c r="L11" s="41">
        <v>0</v>
      </c>
      <c r="M11" s="42">
        <f>Defaults!$C$134*1000*Defaults!$C$135*Defaults!$C$132*Defaults!$D$6/1000</f>
        <v>0.126</v>
      </c>
      <c r="N11" s="43">
        <f>365*C11*Defaults!$D$8*Defaults!$D$6*D11*E11*(1-F11)*G11*H11*I11</f>
        <v>32.888856114945611</v>
      </c>
      <c r="O11" s="43">
        <f>365*C11*Defaults!$D$8*Defaults!$D$6*J11*I11+L11*K11*(44/28)*Defaults!$D$7+M11</f>
        <v>0.126</v>
      </c>
      <c r="P11" s="31">
        <f t="shared" si="0"/>
        <v>32.762856114945613</v>
      </c>
      <c r="Q11" s="44" t="str">
        <f t="shared" si="1"/>
        <v>Earns credits</v>
      </c>
      <c r="R11" s="33" t="s">
        <v>334</v>
      </c>
    </row>
    <row r="12" spans="2:18" ht="30" customHeight="1">
      <c r="B12" s="27" t="s">
        <v>335</v>
      </c>
      <c r="C12" s="36">
        <f>INDEX(Defaults!$D$32:$D$64,MATCH("India",Defaults!$B$32:$B$64,0))</f>
        <v>3.4000000000000002E-2</v>
      </c>
      <c r="D12" s="36">
        <f>INDEX(Defaults!$C$69:$C$79,MATCH("Septic tank",Defaults!$B$69:$B$79,0))</f>
        <v>0.55000000000000004</v>
      </c>
      <c r="E12" s="36">
        <f>INDEX(Defaults!$H$69:$H$79,MATCH("Septic tank",Defaults!$B$69:$B$79,0))</f>
        <v>0.67</v>
      </c>
      <c r="F12" s="37">
        <f>INDEX(Defaults!$F$32:$F$64,MATCH("India",Defaults!$B$32:$B$64,0))</f>
        <v>2.0400000000000001E-2</v>
      </c>
      <c r="G12" s="38">
        <v>0.95</v>
      </c>
      <c r="H12" s="38">
        <v>0.92</v>
      </c>
      <c r="I12" s="39">
        <v>0.5</v>
      </c>
      <c r="J12" s="40">
        <v>0</v>
      </c>
      <c r="K12" s="40">
        <v>0</v>
      </c>
      <c r="L12" s="41">
        <v>0</v>
      </c>
      <c r="M12" s="42">
        <f>Defaults!$C$134*1000*Defaults!$C$135*(Defaults!$C$130*Defaults!$D$6+Defaults!$C$131*Defaults!$D$7)/1000</f>
        <v>0.98775000000000002</v>
      </c>
      <c r="N12" s="43">
        <f>365*C12*Defaults!$D$8*Defaults!$D$6*D12*E12*(1-F12)*G12*H12*I12</f>
        <v>32.888856114945611</v>
      </c>
      <c r="O12" s="43">
        <f>365*C12*Defaults!$D$8*Defaults!$D$6*J12*I12+L12*K12*(44/28)*Defaults!$D$7+M12</f>
        <v>0.98775000000000002</v>
      </c>
      <c r="P12" s="31">
        <f t="shared" si="0"/>
        <v>31.901106114945613</v>
      </c>
      <c r="Q12" s="44" t="str">
        <f t="shared" si="1"/>
        <v>Earns credits</v>
      </c>
      <c r="R12" s="33"/>
    </row>
    <row r="13" spans="2:18" ht="30" customHeight="1">
      <c r="B13" s="27" t="s">
        <v>336</v>
      </c>
      <c r="C13" s="36">
        <f>INDEX(Defaults!$D$32:$D$64,MATCH("India",Defaults!$B$32:$B$64,0))</f>
        <v>3.4000000000000002E-2</v>
      </c>
      <c r="D13" s="36">
        <f>INDEX(Defaults!$C$69:$C$79,MATCH("Septic tank",Defaults!$B$69:$B$79,0))</f>
        <v>0.55000000000000004</v>
      </c>
      <c r="E13" s="36">
        <f>INDEX(Defaults!$H$69:$H$79,MATCH("Septic tank",Defaults!$B$69:$B$79,0))</f>
        <v>0.67</v>
      </c>
      <c r="F13" s="37">
        <f>INDEX(Defaults!$F$32:$F$64,MATCH("India",Defaults!$B$32:$B$64,0))</f>
        <v>2.0400000000000001E-2</v>
      </c>
      <c r="G13" s="38">
        <v>0.95</v>
      </c>
      <c r="H13" s="38">
        <v>0.92</v>
      </c>
      <c r="I13" s="39">
        <v>0.5</v>
      </c>
      <c r="J13" s="40">
        <v>0.2</v>
      </c>
      <c r="K13" s="40">
        <v>1.6E-2</v>
      </c>
      <c r="L13" s="41">
        <f>INDEX(Defaults!$E$32:$E$64,MATCH("India",Defaults!$B$32:$B$64,0))*365/1000*Defaults!$D$23*I13</f>
        <v>2.1774439999999999</v>
      </c>
      <c r="M13" s="42">
        <v>0</v>
      </c>
      <c r="N13" s="43">
        <f>365*C13*Defaults!$D$8*Defaults!$D$6*D13*E13*(1-F13)*G13*H13*I13</f>
        <v>32.888856114945611</v>
      </c>
      <c r="O13" s="43">
        <f>365*C13*Defaults!$D$8*Defaults!$D$6*J13*I13+L13*K13*(44/28)*Defaults!$D$7+M13</f>
        <v>35.356798308571427</v>
      </c>
      <c r="P13" s="31">
        <f t="shared" si="0"/>
        <v>-2.4679421936258166</v>
      </c>
      <c r="Q13" s="44" t="str">
        <f t="shared" si="1"/>
        <v>No credits</v>
      </c>
      <c r="R13" s="33" t="s">
        <v>337</v>
      </c>
    </row>
    <row r="14" spans="2:18" ht="30" customHeight="1">
      <c r="B14" s="27" t="s">
        <v>338</v>
      </c>
      <c r="C14" s="36">
        <f>INDEX(Defaults!$D$32:$D$64,MATCH("India",Defaults!$B$32:$B$64,0))</f>
        <v>3.4000000000000002E-2</v>
      </c>
      <c r="D14" s="36">
        <f>INDEX(Defaults!$C$69:$C$79,MATCH("Septic tank",Defaults!$B$69:$B$79,0))</f>
        <v>0.55000000000000004</v>
      </c>
      <c r="E14" s="36">
        <f>INDEX(Defaults!$H$69:$H$79,MATCH("Septic tank",Defaults!$B$69:$B$79,0))</f>
        <v>0.67</v>
      </c>
      <c r="F14" s="37">
        <f>INDEX(Defaults!$F$32:$F$64,MATCH("India",Defaults!$B$32:$B$64,0))</f>
        <v>2.0400000000000001E-2</v>
      </c>
      <c r="G14" s="38">
        <v>0.95</v>
      </c>
      <c r="H14" s="38">
        <v>0.92</v>
      </c>
      <c r="I14" s="39">
        <v>0.5</v>
      </c>
      <c r="J14" s="40">
        <v>0.4</v>
      </c>
      <c r="K14" s="40">
        <v>3.2000000000000001E-2</v>
      </c>
      <c r="L14" s="41">
        <f>INDEX(Defaults!$E$32:$E$64,MATCH("India",Defaults!$B$32:$B$64,0))*365/1000*Defaults!$D$23*I14</f>
        <v>2.1774439999999999</v>
      </c>
      <c r="M14" s="42">
        <v>0</v>
      </c>
      <c r="N14" s="43">
        <f>365*C14*Defaults!$D$8*Defaults!$D$6*D14*E14*(1-F14)*G14*H14*I14</f>
        <v>32.888856114945611</v>
      </c>
      <c r="O14" s="43">
        <f>365*C14*Defaults!$D$8*Defaults!$D$6*J14*I14+L14*K14*(44/28)*Defaults!$D$7+M14</f>
        <v>70.713596617142855</v>
      </c>
      <c r="P14" s="31">
        <f t="shared" si="0"/>
        <v>-37.824740502197244</v>
      </c>
      <c r="Q14" s="44" t="str">
        <f t="shared" si="1"/>
        <v>No credits</v>
      </c>
      <c r="R14" s="33" t="s">
        <v>339</v>
      </c>
    </row>
    <row r="15" spans="2:18" ht="30" customHeight="1">
      <c r="B15" s="27" t="s">
        <v>340</v>
      </c>
      <c r="C15" s="36">
        <f>INDEX(Defaults!$D$32:$D$64,MATCH("Ghana",Defaults!$B$32:$B$64,0))</f>
        <v>3.6999999999999998E-2</v>
      </c>
      <c r="D15" s="36">
        <f>INDEX(Defaults!$C$69:$C$79,MATCH("Wet pit latrine",Defaults!$B$69:$B$79,0))</f>
        <v>0.7</v>
      </c>
      <c r="E15" s="36">
        <f>INDEX(Defaults!$H$69:$H$79,MATCH("Wet pit latrine",Defaults!$B$69:$B$79,0))</f>
        <v>0.72</v>
      </c>
      <c r="F15" s="37">
        <f>INDEX(Defaults!$F$32:$F$64,MATCH("Ghana",Defaults!$B$32:$B$64,0))</f>
        <v>2.76E-2</v>
      </c>
      <c r="G15" s="38">
        <v>0.95</v>
      </c>
      <c r="H15" s="38">
        <v>0.92</v>
      </c>
      <c r="I15" s="45">
        <f>MIN(1,0.15*Defaults!$D$13*1000/(365*C15))</f>
        <v>1.9992595335061092E-2</v>
      </c>
      <c r="J15" s="40">
        <v>0.2</v>
      </c>
      <c r="K15" s="40">
        <v>1.6E-2</v>
      </c>
      <c r="L15" s="41">
        <f>INDEX(Defaults!$E$32:$E$64,MATCH("Ghana",Defaults!$B$32:$B$64,0))*365/1000*Defaults!$D$23*I15</f>
        <v>7.9324540540540542E-2</v>
      </c>
      <c r="M15" s="42">
        <v>0</v>
      </c>
      <c r="N15" s="43">
        <f>365*C15*Defaults!$D$8*Defaults!$D$6*D15*E15*(1-F15)*G15*H15*I15</f>
        <v>1.9429425759744003</v>
      </c>
      <c r="O15" s="43">
        <f>365*C15*Defaults!$D$8*Defaults!$D$6*J15*I15+L15*K15*(44/28)*Defaults!$D$7+M15</f>
        <v>1.4357280815444016</v>
      </c>
      <c r="P15" s="31">
        <f t="shared" si="0"/>
        <v>0.50721449442999877</v>
      </c>
      <c r="Q15" s="44" t="str">
        <f t="shared" si="1"/>
        <v>Marginal</v>
      </c>
      <c r="R15" s="33" t="s">
        <v>341</v>
      </c>
    </row>
    <row r="16" spans="2:18" ht="30" customHeight="1">
      <c r="B16" s="27" t="s">
        <v>342</v>
      </c>
      <c r="C16" s="36">
        <f>INDEX(Defaults!$D$32:$D$64,MATCH("Ghana",Defaults!$B$32:$B$64,0))</f>
        <v>3.6999999999999998E-2</v>
      </c>
      <c r="D16" s="36">
        <f>INDEX(Defaults!$C$69:$C$79,MATCH("Wet pit latrine",Defaults!$B$69:$B$79,0))</f>
        <v>0.7</v>
      </c>
      <c r="E16" s="36">
        <f>INDEX(Defaults!$H$69:$H$79,MATCH("Wet pit latrine",Defaults!$B$69:$B$79,0))</f>
        <v>0.72</v>
      </c>
      <c r="F16" s="37">
        <f>INDEX(Defaults!$F$32:$F$64,MATCH("Ghana",Defaults!$B$32:$B$64,0))</f>
        <v>2.76E-2</v>
      </c>
      <c r="G16" s="38">
        <v>0.95</v>
      </c>
      <c r="H16" s="38">
        <v>0.92</v>
      </c>
      <c r="I16" s="45">
        <f>MIN(1,0.15*0.004*1000/(365*C16))</f>
        <v>4.4427989633469084E-2</v>
      </c>
      <c r="J16" s="40">
        <v>0.2</v>
      </c>
      <c r="K16" s="40">
        <v>1.6E-2</v>
      </c>
      <c r="L16" s="41">
        <f>0.15*1.5</f>
        <v>0.22499999999999998</v>
      </c>
      <c r="M16" s="42">
        <v>0</v>
      </c>
      <c r="N16" s="43">
        <f>365*C16*Defaults!$D$8*Defaults!$D$6*D16*E16*(1-F16)*G16*H16*I16</f>
        <v>4.3176501688319995</v>
      </c>
      <c r="O16" s="43">
        <f>365*C16*Defaults!$D$8*Defaults!$D$6*J16*I16+L16*K16*(44/28)*Defaults!$D$7+M16</f>
        <v>3.5151428571428571</v>
      </c>
      <c r="P16" s="31">
        <f t="shared" si="0"/>
        <v>0.80250731168914236</v>
      </c>
      <c r="Q16" s="44" t="str">
        <f t="shared" si="1"/>
        <v>Marginal</v>
      </c>
      <c r="R16" s="33" t="s">
        <v>343</v>
      </c>
    </row>
    <row r="17" spans="2:18" ht="30" customHeight="1">
      <c r="B17" s="27" t="s">
        <v>344</v>
      </c>
      <c r="C17" s="36">
        <f>INDEX(Defaults!$D$32:$D$64,MATCH("India",Defaults!$B$32:$B$64,0))</f>
        <v>3.4000000000000002E-2</v>
      </c>
      <c r="D17" s="36">
        <f>INDEX(Defaults!$C$69:$C$79,MATCH("Sewered, untreated: stagnant sewer + discharge",Defaults!$B$69:$B$79,0))</f>
        <v>0.61</v>
      </c>
      <c r="E17" s="36">
        <f>INDEX(Defaults!$H$69:$H$79,MATCH("Sewered, untreated: stagnant sewer + discharge",Defaults!$B$69:$B$79,0))</f>
        <v>0.31</v>
      </c>
      <c r="F17" s="37">
        <f>INDEX(Defaults!$F$32:$F$64,MATCH("India",Defaults!$B$32:$B$64,0))</f>
        <v>2.0400000000000001E-2</v>
      </c>
      <c r="G17" s="38">
        <v>0.95</v>
      </c>
      <c r="H17" s="38">
        <v>0.92</v>
      </c>
      <c r="I17" s="39">
        <v>1</v>
      </c>
      <c r="J17" s="40">
        <v>3.4000000000000002E-2</v>
      </c>
      <c r="K17" s="40">
        <v>1.6E-2</v>
      </c>
      <c r="L17" s="41">
        <f>INDEX(Defaults!$E$32:$E$64,MATCH("India",Defaults!$B$32:$B$64,0))*365/1000*Defaults!$D$23*I17</f>
        <v>4.3548879999999999</v>
      </c>
      <c r="M17" s="42">
        <v>0</v>
      </c>
      <c r="N17" s="43">
        <f>365*C17*Defaults!$D$8*Defaults!$D$6*D17*E17*(1-F17)*G17*H17*I17</f>
        <v>33.754587198568316</v>
      </c>
      <c r="O17" s="43">
        <f>365*C17*Defaults!$D$8*Defaults!$D$6*J17*I17+L17*K17*(44/28)*Defaults!$D$7+M17</f>
        <v>36.104588617142859</v>
      </c>
      <c r="P17" s="31">
        <f t="shared" si="0"/>
        <v>-2.3500014185745428</v>
      </c>
      <c r="Q17" s="44" t="str">
        <f t="shared" si="1"/>
        <v>No credits</v>
      </c>
      <c r="R17" s="33" t="s">
        <v>345</v>
      </c>
    </row>
    <row r="18" spans="2:18" ht="30" customHeight="1">
      <c r="B18" s="27" t="s">
        <v>346</v>
      </c>
      <c r="C18" s="36">
        <f>INDEX(Defaults!$D$32:$D$64,MATCH("India",Defaults!$B$32:$B$64,0))</f>
        <v>3.4000000000000002E-2</v>
      </c>
      <c r="D18" s="36">
        <f>INDEX(Defaults!$C$69:$C$79,MATCH("Sewered, untreated: stagnant sewer + discharge",Defaults!$B$69:$B$79,0))</f>
        <v>0.61</v>
      </c>
      <c r="E18" s="36">
        <f>1-Defaults!$D$21*SQRT(Defaults!$D$17^2+Defaults!$D$18^2+0.25^2)</f>
        <v>0.67789310559225835</v>
      </c>
      <c r="F18" s="37">
        <f>INDEX(Defaults!$F$32:$F$64,MATCH("India",Defaults!$B$32:$B$64,0))</f>
        <v>2.0400000000000001E-2</v>
      </c>
      <c r="G18" s="38">
        <v>0.95</v>
      </c>
      <c r="H18" s="38">
        <v>0.92</v>
      </c>
      <c r="I18" s="39">
        <v>1</v>
      </c>
      <c r="J18" s="40">
        <v>3.4000000000000002E-2</v>
      </c>
      <c r="K18" s="40">
        <v>1.6E-2</v>
      </c>
      <c r="L18" s="41">
        <f>INDEX(Defaults!$E$32:$E$64,MATCH("India",Defaults!$B$32:$B$64,0))*365/1000*Defaults!$D$23*I18</f>
        <v>4.3548879999999999</v>
      </c>
      <c r="M18" s="42">
        <v>0</v>
      </c>
      <c r="N18" s="43">
        <f>365*C18*Defaults!$D$8*Defaults!$D$6*D18*E18*(1-F18)*G18*H18*I18</f>
        <v>73.812909496845691</v>
      </c>
      <c r="O18" s="43">
        <f>365*C18*Defaults!$D$8*Defaults!$D$6*J18*I18+L18*K18*(44/28)*Defaults!$D$7+M18</f>
        <v>36.104588617142859</v>
      </c>
      <c r="P18" s="31">
        <f t="shared" si="0"/>
        <v>37.708320879702832</v>
      </c>
      <c r="Q18" s="44" t="str">
        <f t="shared" si="1"/>
        <v>Earns credits</v>
      </c>
      <c r="R18" s="33" t="s">
        <v>347</v>
      </c>
    </row>
    <row r="20" spans="2:18" ht="66" customHeight="1">
      <c r="B20" s="93" t="s">
        <v>348</v>
      </c>
      <c r="C20" s="97"/>
      <c r="D20" s="97"/>
      <c r="E20" s="97"/>
      <c r="F20" s="97"/>
      <c r="G20" s="97"/>
      <c r="H20" s="97"/>
      <c r="I20" s="97"/>
      <c r="J20" s="97"/>
      <c r="K20" s="97"/>
      <c r="L20" s="97"/>
      <c r="M20" s="97"/>
      <c r="N20" s="97"/>
      <c r="O20" s="97"/>
      <c r="P20" s="97"/>
      <c r="Q20" s="97"/>
      <c r="R20" s="97"/>
    </row>
  </sheetData>
  <sheetProtection password="86E8" sheet="1" objects="1" scenarios="1" formatColumns="0" formatRows="0"/>
  <mergeCells count="2">
    <mergeCell ref="B2:R2"/>
    <mergeCell ref="B20:R20"/>
  </mergeCells>
  <conditionalFormatting sqref="Q5:Q18">
    <cfRule type="cellIs" dxfId="67" priority="1" operator="equal">
      <formula>"Earns credits"</formula>
    </cfRule>
    <cfRule type="cellIs" dxfId="66" priority="2" operator="equal">
      <formula>"No credits"</formula>
    </cfRule>
    <cfRule type="cellIs" dxfId="65" priority="3" operator="equal">
      <formula>"Marginal"</formula>
    </cfRule>
  </conditionalFormatting>
  <pageMargins left="0.75" right="0.75" top="1" bottom="1" header="0.5" footer="0.5"/>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349</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350</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9942.187144698979</v>
      </c>
    </row>
    <row r="7" spans="2:25">
      <c r="B7" s="30" t="s">
        <v>360</v>
      </c>
      <c r="C7" s="33"/>
      <c r="D7" s="33" t="s">
        <v>359</v>
      </c>
      <c r="E7" s="33"/>
      <c r="F7" s="31">
        <f>SUMPRODUCT(($G$114:$U$114&lt;=10)*($G$244:$U$244))</f>
        <v>9942.187144698979</v>
      </c>
    </row>
    <row r="8" spans="2:25">
      <c r="B8" s="27" t="s">
        <v>361</v>
      </c>
      <c r="C8" s="33"/>
      <c r="D8" s="33" t="s">
        <v>359</v>
      </c>
      <c r="E8" s="33"/>
      <c r="F8" s="34">
        <f>IF(SUM($G$117:$U$117)&gt;0,V244/SUM($G$117:$U$117),0)</f>
        <v>994.21871446989792</v>
      </c>
    </row>
    <row r="9" spans="2:25">
      <c r="B9" s="27" t="s">
        <v>362</v>
      </c>
      <c r="C9" s="33"/>
      <c r="D9" s="33" t="s">
        <v>359</v>
      </c>
      <c r="E9" s="33"/>
      <c r="F9" s="34">
        <f>V202</f>
        <v>16543.968863469836</v>
      </c>
    </row>
    <row r="10" spans="2:25">
      <c r="B10" s="27" t="s">
        <v>363</v>
      </c>
      <c r="C10" s="33"/>
      <c r="D10" s="33" t="s">
        <v>359</v>
      </c>
      <c r="E10" s="33"/>
      <c r="F10" s="34">
        <f>V222</f>
        <v>4340.0961858000001</v>
      </c>
    </row>
    <row r="11" spans="2:25">
      <c r="B11" s="27" t="s">
        <v>364</v>
      </c>
      <c r="C11" s="33"/>
      <c r="D11" s="33" t="s">
        <v>359</v>
      </c>
      <c r="E11" s="33"/>
      <c r="F11" s="34">
        <f>V240</f>
        <v>2357.4</v>
      </c>
    </row>
    <row r="12" spans="2:25">
      <c r="B12" s="27" t="s">
        <v>365</v>
      </c>
      <c r="C12" s="33"/>
      <c r="D12" s="33" t="s">
        <v>359</v>
      </c>
      <c r="E12" s="33"/>
      <c r="F12" s="34">
        <f>V203</f>
        <v>541.93913829263454</v>
      </c>
    </row>
    <row r="13" spans="2:25">
      <c r="B13" s="27" t="s">
        <v>297</v>
      </c>
      <c r="C13" s="33"/>
      <c r="D13" s="33" t="s">
        <v>366</v>
      </c>
      <c r="E13" s="33"/>
      <c r="F13" s="48">
        <f>SUMPRODUCT(($G$117:$U$117=1)*($G$243:$U$243&lt;0))</f>
        <v>1</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374</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3.6999999999999998E-2</v>
      </c>
      <c r="G19" s="94" t="str">
        <f>"Table 6.4 entry: "&amp;INDEX(Defaults!$C$32:$C$64,MATCH($F$18,Defaults!$B$32:$B$64,0))</f>
        <v>Table 6.4 entry: Africa</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3.6999999999999998E-2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67.94</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3.9676959999999997</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2.76E-2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2.76E-2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46204</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10</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ht="22.5">
      <c r="B45" s="27" t="s">
        <v>441</v>
      </c>
      <c r="C45" s="33"/>
      <c r="D45" s="33"/>
      <c r="E45" s="33" t="s">
        <v>442</v>
      </c>
      <c r="F45" s="51" t="s">
        <v>443</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c r="G46" s="94"/>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1.3</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450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2.7368197999999997</v>
      </c>
      <c r="G49" s="94" t="s">
        <v>454</v>
      </c>
      <c r="H49" s="97"/>
      <c r="I49" s="97"/>
      <c r="J49" s="97"/>
      <c r="K49" s="97"/>
      <c r="L49" s="97"/>
      <c r="M49" s="97"/>
      <c r="N49" s="97"/>
      <c r="O49" s="97"/>
      <c r="P49" s="97"/>
      <c r="Q49" s="97"/>
      <c r="R49" s="97"/>
      <c r="S49" s="97"/>
      <c r="T49" s="97"/>
      <c r="U49" s="97"/>
      <c r="V49" s="97"/>
    </row>
    <row r="50" spans="2:25" ht="22.5">
      <c r="B50" s="27" t="s">
        <v>455</v>
      </c>
      <c r="C50" s="33"/>
      <c r="D50" s="33"/>
      <c r="E50" s="33" t="s">
        <v>456</v>
      </c>
      <c r="F50" s="51" t="s">
        <v>457</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460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0</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480</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0.55000000000000004</v>
      </c>
      <c r="F60" s="45">
        <f>C60*E60</f>
        <v>5.5000000000000007E-2</v>
      </c>
      <c r="G60" s="45">
        <f>(C60-D60)*E60</f>
        <v>2.7500000000000004E-2</v>
      </c>
    </row>
    <row r="61" spans="2:25">
      <c r="B61" s="27" t="s">
        <v>482</v>
      </c>
      <c r="C61" s="36">
        <f>INDEX(Defaults!$C$69:$C$79,MATCH(B61,Defaults!$B$69:$B$79,0))</f>
        <v>0.7</v>
      </c>
      <c r="D61" s="36">
        <f>IF(ISNUMBER(INDEX(Defaults!$D$69:$D$79,MATCH(B61,Defaults!$B$69:$B$79,0))),INDEX(Defaults!$D$69:$D$79,MATCH(B61,Defaults!$B$69:$B$79,0)),C61)</f>
        <v>0.7</v>
      </c>
      <c r="E61" s="53">
        <v>0.15</v>
      </c>
      <c r="F61" s="45">
        <f>C61*E61</f>
        <v>0.105</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0.3</v>
      </c>
      <c r="F62" s="45">
        <f>C62*E62</f>
        <v>0.16500000000000001</v>
      </c>
      <c r="G62" s="45">
        <f>(C62-D62)*E62</f>
        <v>4.5000000000000005E-2</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1</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0.32500000000000001</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0.32500000000000001</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0.30874999999999997</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0.22307692307692309</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496</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0.68646610903629535</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505</v>
      </c>
      <c r="H74" s="51" t="s">
        <v>506</v>
      </c>
      <c r="I74" s="51" t="s">
        <v>507</v>
      </c>
      <c r="J74" s="51"/>
      <c r="K74" s="51"/>
    </row>
    <row r="75" spans="2:25" ht="44.1" customHeight="1">
      <c r="B75" s="27" t="s">
        <v>508</v>
      </c>
      <c r="C75" s="33" t="s">
        <v>509</v>
      </c>
      <c r="D75" s="33"/>
      <c r="E75" s="33" t="s">
        <v>510</v>
      </c>
      <c r="F75" s="33"/>
      <c r="G75" s="51" t="s">
        <v>511</v>
      </c>
      <c r="H75" s="51" t="s">
        <v>481</v>
      </c>
      <c r="I75" s="51" t="s">
        <v>512</v>
      </c>
      <c r="J75" s="51"/>
      <c r="K75" s="51"/>
    </row>
    <row r="76" spans="2:25">
      <c r="B76" s="27" t="s">
        <v>513</v>
      </c>
      <c r="C76" s="33"/>
      <c r="D76" s="33" t="s">
        <v>514</v>
      </c>
      <c r="E76" s="33" t="s">
        <v>515</v>
      </c>
      <c r="F76" s="33"/>
      <c r="G76" s="60"/>
      <c r="H76" s="60">
        <v>5</v>
      </c>
      <c r="I76" s="60"/>
      <c r="J76" s="60"/>
      <c r="K76" s="60"/>
    </row>
    <row r="77" spans="2:25" ht="44.1" customHeight="1">
      <c r="B77" s="27" t="s">
        <v>516</v>
      </c>
      <c r="C77" s="33"/>
      <c r="D77" s="33"/>
      <c r="E77" s="33" t="s">
        <v>517</v>
      </c>
      <c r="F77" s="33"/>
      <c r="G77" s="51" t="s">
        <v>518</v>
      </c>
      <c r="H77" s="51" t="s">
        <v>518</v>
      </c>
      <c r="I77" s="51" t="s">
        <v>518</v>
      </c>
      <c r="J77" s="51"/>
      <c r="K77" s="51"/>
    </row>
    <row r="78" spans="2:25" ht="44.1" customHeight="1">
      <c r="B78" s="27" t="s">
        <v>519</v>
      </c>
      <c r="C78" s="33"/>
      <c r="D78" s="33"/>
      <c r="E78" s="33" t="s">
        <v>520</v>
      </c>
      <c r="F78" s="33"/>
      <c r="G78" s="51" t="s">
        <v>521</v>
      </c>
      <c r="H78" s="51" t="s">
        <v>521</v>
      </c>
      <c r="I78" s="51" t="s">
        <v>521</v>
      </c>
      <c r="J78" s="51"/>
      <c r="K78" s="51"/>
    </row>
    <row r="79" spans="2:25">
      <c r="B79" s="27" t="s">
        <v>522</v>
      </c>
      <c r="C79" s="33" t="s">
        <v>490</v>
      </c>
      <c r="D79" s="33" t="s">
        <v>398</v>
      </c>
      <c r="E79" s="33" t="s">
        <v>125</v>
      </c>
      <c r="F79" s="33"/>
      <c r="G79" s="40"/>
      <c r="H79" s="40"/>
      <c r="I79" s="40"/>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0.30874999999999997</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0.1</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v>
      </c>
      <c r="J80" s="61" t="str">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
      </c>
      <c r="K80" s="61" t="str">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
      </c>
    </row>
    <row r="81" spans="2:11">
      <c r="B81" s="27" t="s">
        <v>525</v>
      </c>
      <c r="C81" s="33"/>
      <c r="D81" s="33"/>
      <c r="E81" s="33" t="s">
        <v>526</v>
      </c>
      <c r="F81" s="33"/>
      <c r="G81" s="51" t="s">
        <v>527</v>
      </c>
      <c r="H81" s="51" t="s">
        <v>527</v>
      </c>
      <c r="I81" s="51" t="s">
        <v>527</v>
      </c>
      <c r="J81" s="51"/>
      <c r="K81" s="51"/>
    </row>
    <row r="82" spans="2:11" ht="22.5">
      <c r="B82" s="27" t="s">
        <v>528</v>
      </c>
      <c r="C82" s="33" t="s">
        <v>493</v>
      </c>
      <c r="D82" s="33" t="s">
        <v>398</v>
      </c>
      <c r="E82" s="33" t="s">
        <v>529</v>
      </c>
      <c r="F82" s="33"/>
      <c r="G82" s="53"/>
      <c r="H82" s="53"/>
      <c r="I82" s="53"/>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0.68646610903629535</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0.56999999999999995</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0.56999999999999995</v>
      </c>
      <c r="J83" s="61" t="str">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
      </c>
      <c r="K83" s="61" t="str">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540</v>
      </c>
      <c r="H86" s="51" t="s">
        <v>540</v>
      </c>
      <c r="I86" s="51" t="s">
        <v>540</v>
      </c>
      <c r="J86" s="51"/>
      <c r="K86" s="51"/>
    </row>
    <row r="87" spans="2:11" ht="44.1" customHeight="1">
      <c r="B87" s="27" t="s">
        <v>541</v>
      </c>
      <c r="C87" s="33" t="s">
        <v>538</v>
      </c>
      <c r="D87" s="33"/>
      <c r="E87" s="33" t="s">
        <v>539</v>
      </c>
      <c r="F87" s="33"/>
      <c r="G87" s="51" t="s">
        <v>460</v>
      </c>
      <c r="H87" s="51" t="s">
        <v>460</v>
      </c>
      <c r="I87" s="51" t="s">
        <v>460</v>
      </c>
      <c r="J87" s="51"/>
      <c r="K87" s="51"/>
    </row>
    <row r="88" spans="2:11">
      <c r="B88" s="27" t="s">
        <v>542</v>
      </c>
      <c r="C88" s="33"/>
      <c r="D88" s="33"/>
      <c r="E88" s="33"/>
      <c r="F88" s="33"/>
      <c r="G88" s="44" t="str">
        <f>IF(G86="","NONE",INDEX(Defaults!$C$91:$C$101,MATCH(G86,Defaults!$B$91:$B$101,0)))</f>
        <v>COMP</v>
      </c>
      <c r="H88" s="44" t="str">
        <f>IF(H86="","NONE",INDEX(Defaults!$C$91:$C$101,MATCH(H86,Defaults!$B$91:$B$101,0)))</f>
        <v>COMP</v>
      </c>
      <c r="I88" s="44" t="str">
        <f>IF(I86="","NONE",INDEX(Defaults!$C$91:$C$101,MATCH(I86,Defaults!$B$91:$B$101,0)))</f>
        <v>COMP</v>
      </c>
      <c r="J88" s="44" t="str">
        <f>IF(J86="","NONE",INDEX(Defaults!$C$91:$C$101,MATCH(J86,Defaults!$B$91:$B$101,0)))</f>
        <v>NONE</v>
      </c>
      <c r="K88" s="44" t="str">
        <f>IF(K86="","NONE",INDEX(Defaults!$C$91:$C$101,MATCH(K86,Defaults!$B$91:$B$101,0)))</f>
        <v>NONE</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NONE</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v>
      </c>
      <c r="J90" s="41">
        <f>IF(J86="",0,INDEX(Defaults!$D$91:$D$101,MATCH(J86,Defaults!$B$91:$B$101,0)))</f>
        <v>0</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0</v>
      </c>
      <c r="J92" s="45">
        <f>IF(J86="",0,INDEX(Defaults!$F$91:$F$101,MATCH(J86,Defaults!$B$91:$B$101,0)))</f>
        <v>0</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c r="K94" s="51"/>
    </row>
    <row r="95" spans="2:11" ht="44.1" customHeight="1">
      <c r="B95" s="27" t="s">
        <v>553</v>
      </c>
      <c r="C95" s="33"/>
      <c r="D95" s="33" t="s">
        <v>398</v>
      </c>
      <c r="E95" s="33" t="s">
        <v>466</v>
      </c>
      <c r="F95" s="33"/>
      <c r="G95" s="53">
        <v>0</v>
      </c>
      <c r="H95" s="53">
        <v>0</v>
      </c>
      <c r="I95" s="53">
        <v>0</v>
      </c>
      <c r="J95" s="53"/>
      <c r="K95" s="53"/>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564</v>
      </c>
      <c r="H100" s="51" t="s">
        <v>565</v>
      </c>
      <c r="I100" s="51" t="s">
        <v>566</v>
      </c>
      <c r="J100" s="51" t="s">
        <v>567</v>
      </c>
      <c r="K100" s="51" t="s">
        <v>568</v>
      </c>
      <c r="L100" s="51" t="s">
        <v>569</v>
      </c>
      <c r="M100" s="51" t="s">
        <v>570</v>
      </c>
      <c r="N100" s="51" t="s">
        <v>571</v>
      </c>
    </row>
    <row r="101" spans="2:25">
      <c r="B101" s="27" t="s">
        <v>572</v>
      </c>
      <c r="C101" s="33"/>
      <c r="D101" s="33"/>
      <c r="E101" s="33" t="s">
        <v>573</v>
      </c>
      <c r="F101" s="33"/>
      <c r="G101" s="51" t="s">
        <v>574</v>
      </c>
      <c r="H101" s="51" t="s">
        <v>574</v>
      </c>
      <c r="I101" s="51" t="s">
        <v>574</v>
      </c>
      <c r="J101" s="51" t="s">
        <v>574</v>
      </c>
      <c r="K101" s="51" t="s">
        <v>575</v>
      </c>
      <c r="L101" s="51" t="s">
        <v>575</v>
      </c>
      <c r="M101" s="51" t="s">
        <v>576</v>
      </c>
      <c r="N101" s="51" t="s">
        <v>576</v>
      </c>
    </row>
    <row r="102" spans="2:25" ht="30" customHeight="1">
      <c r="B102" s="27" t="s">
        <v>577</v>
      </c>
      <c r="C102" s="33" t="s">
        <v>578</v>
      </c>
      <c r="D102" s="33"/>
      <c r="E102" s="33" t="s">
        <v>579</v>
      </c>
      <c r="F102" s="33"/>
      <c r="G102" s="51" t="s">
        <v>580</v>
      </c>
      <c r="H102" s="51" t="s">
        <v>580</v>
      </c>
      <c r="I102" s="51" t="s">
        <v>580</v>
      </c>
      <c r="J102" s="51" t="s">
        <v>580</v>
      </c>
      <c r="K102" s="51" t="s">
        <v>581</v>
      </c>
      <c r="L102" s="51" t="s">
        <v>582</v>
      </c>
      <c r="M102" s="51" t="s">
        <v>583</v>
      </c>
      <c r="N102" s="51" t="s">
        <v>582</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2.5</v>
      </c>
      <c r="H104" s="41">
        <f>IF(H102="","",IF(ISNUMBER(H103),H103,INDEX(Defaults!$D$112:$D$126,MATCH(H102,Defaults!$B$112:$B$126,0))))</f>
        <v>2.5</v>
      </c>
      <c r="I104" s="41">
        <f>IF(I102="","",IF(ISNUMBER(I103),I103,INDEX(Defaults!$D$112:$D$126,MATCH(I102,Defaults!$B$112:$B$126,0))))</f>
        <v>2.5</v>
      </c>
      <c r="J104" s="41">
        <f>IF(J102="","",IF(ISNUMBER(J103),J103,INDEX(Defaults!$D$112:$D$126,MATCH(J102,Defaults!$B$112:$B$126,0))))</f>
        <v>2.5</v>
      </c>
      <c r="K104" s="41">
        <f>IF(K102="","",IF(ISNUMBER(K103),K103,INDEX(Defaults!$D$112:$D$126,MATCH(K102,Defaults!$B$112:$B$126,0))))</f>
        <v>0.13</v>
      </c>
      <c r="L104" s="41">
        <f>IF(L102="","",IF(ISNUMBER(L103),L103,INDEX(Defaults!$D$112:$D$126,MATCH(L102,Defaults!$B$112:$B$126,0))))</f>
        <v>1.6</v>
      </c>
      <c r="M104" s="41">
        <f>IF(M102="","",IF(ISNUMBER(M103),M103,INDEX(Defaults!$D$112:$D$126,MATCH(M102,Defaults!$B$112:$B$126,0))))</f>
        <v>0.18</v>
      </c>
      <c r="N104" s="41">
        <f>IF(N102="","",IF(ISNUMBER(N103),N103,INDEX(Defaults!$D$112:$D$126,MATCH(N102,Defaults!$B$112:$B$126,0))))</f>
        <v>1.6</v>
      </c>
    </row>
    <row r="105" spans="2:25">
      <c r="B105" s="27" t="s">
        <v>589</v>
      </c>
      <c r="C105" s="33" t="s">
        <v>590</v>
      </c>
      <c r="D105" s="33" t="s">
        <v>591</v>
      </c>
      <c r="E105" s="33" t="s">
        <v>260</v>
      </c>
      <c r="F105" s="33"/>
      <c r="G105" s="63">
        <v>10</v>
      </c>
      <c r="H105" s="63">
        <v>10</v>
      </c>
      <c r="I105" s="63">
        <v>10</v>
      </c>
      <c r="J105" s="63">
        <v>10</v>
      </c>
      <c r="K105" s="63">
        <v>6000</v>
      </c>
      <c r="L105" s="63">
        <v>300</v>
      </c>
      <c r="M105" s="63">
        <v>1200000</v>
      </c>
      <c r="N105" s="63">
        <v>96000</v>
      </c>
    </row>
    <row r="106" spans="2:25">
      <c r="B106" s="27" t="s">
        <v>592</v>
      </c>
      <c r="C106" s="33"/>
      <c r="D106" s="33" t="s">
        <v>593</v>
      </c>
      <c r="E106" s="33"/>
      <c r="F106" s="33"/>
      <c r="G106" s="63">
        <v>6000</v>
      </c>
      <c r="H106" s="63">
        <v>10500</v>
      </c>
      <c r="I106" s="63">
        <v>6000</v>
      </c>
      <c r="J106" s="63">
        <v>1500</v>
      </c>
      <c r="K106" s="63">
        <v>30</v>
      </c>
      <c r="L106" s="63">
        <v>30</v>
      </c>
      <c r="M106" s="63">
        <v>1</v>
      </c>
      <c r="N106" s="63">
        <v>1</v>
      </c>
    </row>
    <row r="107" spans="2:25">
      <c r="B107" s="27" t="s">
        <v>594</v>
      </c>
      <c r="C107" s="33"/>
      <c r="D107" s="33" t="s">
        <v>359</v>
      </c>
      <c r="E107" s="33" t="s">
        <v>174</v>
      </c>
      <c r="F107" s="33"/>
      <c r="G107" s="34">
        <f t="shared" ref="G107:N107" si="0">IF(OR(G102="",G101=""),0,N(G105)*N(G106)*N(G104)/1000)</f>
        <v>150</v>
      </c>
      <c r="H107" s="34">
        <f t="shared" si="0"/>
        <v>262.5</v>
      </c>
      <c r="I107" s="34">
        <f t="shared" si="0"/>
        <v>150</v>
      </c>
      <c r="J107" s="34">
        <f t="shared" si="0"/>
        <v>37.5</v>
      </c>
      <c r="K107" s="34">
        <f t="shared" si="0"/>
        <v>23.4</v>
      </c>
      <c r="L107" s="34">
        <f t="shared" si="0"/>
        <v>14.4</v>
      </c>
      <c r="M107" s="34">
        <f t="shared" si="0"/>
        <v>216</v>
      </c>
      <c r="N107" s="34">
        <f t="shared" si="0"/>
        <v>153.6</v>
      </c>
    </row>
    <row r="108" spans="2:25">
      <c r="B108" s="27" t="s">
        <v>595</v>
      </c>
      <c r="C108" s="33"/>
      <c r="D108" s="33" t="s">
        <v>439</v>
      </c>
      <c r="E108" s="33" t="s">
        <v>174</v>
      </c>
      <c r="F108" s="33"/>
      <c r="G108" s="60">
        <v>1</v>
      </c>
      <c r="H108" s="60">
        <v>2</v>
      </c>
      <c r="I108" s="60">
        <v>3</v>
      </c>
      <c r="J108" s="60">
        <v>4</v>
      </c>
      <c r="K108" s="60">
        <v>1</v>
      </c>
      <c r="L108" s="60">
        <v>1</v>
      </c>
      <c r="M108" s="60">
        <v>1</v>
      </c>
      <c r="N108" s="60">
        <v>1</v>
      </c>
    </row>
    <row r="109" spans="2:25">
      <c r="B109" s="27" t="s">
        <v>596</v>
      </c>
      <c r="C109" s="33"/>
      <c r="D109" s="33" t="s">
        <v>436</v>
      </c>
      <c r="E109" s="33" t="s">
        <v>597</v>
      </c>
      <c r="F109" s="33"/>
      <c r="G109" s="60">
        <v>3</v>
      </c>
      <c r="H109" s="60">
        <v>3</v>
      </c>
      <c r="I109" s="60">
        <v>3</v>
      </c>
      <c r="J109" s="60">
        <v>3</v>
      </c>
      <c r="K109" s="60"/>
      <c r="L109" s="60"/>
      <c r="M109" s="60"/>
      <c r="N109" s="60"/>
    </row>
    <row r="110" spans="2:25">
      <c r="B110" s="27" t="s">
        <v>598</v>
      </c>
      <c r="C110" s="33" t="s">
        <v>599</v>
      </c>
      <c r="D110" s="33" t="s">
        <v>436</v>
      </c>
      <c r="E110" s="33" t="s">
        <v>573</v>
      </c>
      <c r="F110" s="33"/>
      <c r="G110" s="48">
        <f t="shared" ref="G110:N110" si="1">IF(G101="","",IF(G101="Tier 1",1,5))</f>
        <v>1</v>
      </c>
      <c r="H110" s="48">
        <f t="shared" si="1"/>
        <v>1</v>
      </c>
      <c r="I110" s="48">
        <f t="shared" si="1"/>
        <v>1</v>
      </c>
      <c r="J110" s="48">
        <f t="shared" si="1"/>
        <v>1</v>
      </c>
      <c r="K110" s="48">
        <f t="shared" si="1"/>
        <v>5</v>
      </c>
      <c r="L110" s="48">
        <f t="shared" si="1"/>
        <v>5</v>
      </c>
      <c r="M110" s="48">
        <f t="shared" si="1"/>
        <v>5</v>
      </c>
      <c r="N110" s="48">
        <f t="shared" si="1"/>
        <v>5</v>
      </c>
    </row>
    <row r="111" spans="2:25">
      <c r="B111" s="27" t="s">
        <v>600</v>
      </c>
      <c r="C111" s="33"/>
      <c r="D111" s="33" t="s">
        <v>432</v>
      </c>
      <c r="E111" s="33" t="s">
        <v>174</v>
      </c>
      <c r="F111" s="33"/>
      <c r="G111" s="64">
        <f t="shared" ref="G111:N111" si="2">IF(G101="","",IF(N(G108)&lt;=1,$F$42,DATE(YEAR($F$42)+G108-1,1,1)))</f>
        <v>46204</v>
      </c>
      <c r="H111" s="64">
        <f t="shared" si="2"/>
        <v>46388</v>
      </c>
      <c r="I111" s="64">
        <f t="shared" si="2"/>
        <v>46753</v>
      </c>
      <c r="J111" s="64">
        <f t="shared" si="2"/>
        <v>47119</v>
      </c>
      <c r="K111" s="64">
        <f t="shared" si="2"/>
        <v>46204</v>
      </c>
      <c r="L111" s="64">
        <f t="shared" si="2"/>
        <v>46204</v>
      </c>
      <c r="M111" s="64">
        <f t="shared" si="2"/>
        <v>46204</v>
      </c>
      <c r="N111" s="64">
        <f t="shared" si="2"/>
        <v>46204</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2026</v>
      </c>
      <c r="H115" s="66">
        <f t="shared" si="4"/>
        <v>2027</v>
      </c>
      <c r="I115" s="66">
        <f t="shared" si="4"/>
        <v>2028</v>
      </c>
      <c r="J115" s="66">
        <f t="shared" si="4"/>
        <v>2029</v>
      </c>
      <c r="K115" s="66">
        <f t="shared" si="4"/>
        <v>2030</v>
      </c>
      <c r="L115" s="66">
        <f t="shared" si="4"/>
        <v>2031</v>
      </c>
      <c r="M115" s="66">
        <f t="shared" si="4"/>
        <v>2032</v>
      </c>
      <c r="N115" s="66">
        <f t="shared" si="4"/>
        <v>2033</v>
      </c>
      <c r="O115" s="66">
        <f t="shared" si="4"/>
        <v>2034</v>
      </c>
      <c r="P115" s="66">
        <f t="shared" si="4"/>
        <v>2035</v>
      </c>
      <c r="Q115" s="66">
        <f t="shared" si="4"/>
        <v>2036</v>
      </c>
      <c r="R115" s="66">
        <f t="shared" si="4"/>
        <v>2037</v>
      </c>
      <c r="S115" s="66">
        <f t="shared" si="4"/>
        <v>2038</v>
      </c>
      <c r="T115" s="66">
        <f t="shared" si="4"/>
        <v>2039</v>
      </c>
      <c r="U115" s="66">
        <f t="shared" si="4"/>
        <v>2040</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0</v>
      </c>
      <c r="R117" s="48">
        <f t="shared" si="6"/>
        <v>0</v>
      </c>
      <c r="S117" s="48">
        <f t="shared" si="6"/>
        <v>0</v>
      </c>
      <c r="T117" s="48">
        <f t="shared" si="6"/>
        <v>0</v>
      </c>
      <c r="U117" s="48">
        <f t="shared" si="6"/>
        <v>0</v>
      </c>
      <c r="V117" s="33"/>
    </row>
    <row r="118" spans="2:25">
      <c r="B118" s="27" t="s">
        <v>608</v>
      </c>
      <c r="C118" s="33"/>
      <c r="D118" s="33" t="s">
        <v>432</v>
      </c>
      <c r="E118" s="33"/>
      <c r="F118" s="33"/>
      <c r="G118" s="64">
        <f t="shared" ref="G118:U118" si="7">IF(G$114=1,$F$42,DATE(G$115,1,1))</f>
        <v>46204</v>
      </c>
      <c r="H118" s="64">
        <f t="shared" si="7"/>
        <v>46388</v>
      </c>
      <c r="I118" s="64">
        <f t="shared" si="7"/>
        <v>46753</v>
      </c>
      <c r="J118" s="64">
        <f t="shared" si="7"/>
        <v>47119</v>
      </c>
      <c r="K118" s="64">
        <f t="shared" si="7"/>
        <v>47484</v>
      </c>
      <c r="L118" s="64">
        <f t="shared" si="7"/>
        <v>47849</v>
      </c>
      <c r="M118" s="64">
        <f t="shared" si="7"/>
        <v>48214</v>
      </c>
      <c r="N118" s="64">
        <f t="shared" si="7"/>
        <v>48580</v>
      </c>
      <c r="O118" s="64">
        <f t="shared" si="7"/>
        <v>48945</v>
      </c>
      <c r="P118" s="64">
        <f t="shared" si="7"/>
        <v>49310</v>
      </c>
      <c r="Q118" s="64">
        <f t="shared" si="7"/>
        <v>49675</v>
      </c>
      <c r="R118" s="64">
        <f t="shared" si="7"/>
        <v>50041</v>
      </c>
      <c r="S118" s="64">
        <f t="shared" si="7"/>
        <v>50406</v>
      </c>
      <c r="T118" s="64">
        <f t="shared" si="7"/>
        <v>50771</v>
      </c>
      <c r="U118" s="64">
        <f t="shared" si="7"/>
        <v>51136</v>
      </c>
      <c r="V118" s="33"/>
    </row>
    <row r="119" spans="2:25">
      <c r="B119" s="27" t="s">
        <v>609</v>
      </c>
      <c r="C119" s="33"/>
      <c r="D119" s="33" t="s">
        <v>432</v>
      </c>
      <c r="E119" s="33"/>
      <c r="F119" s="33"/>
      <c r="G119" s="64">
        <f t="shared" ref="G119:U119" si="8">DATE(G$115,12,31)</f>
        <v>46387</v>
      </c>
      <c r="H119" s="64">
        <f t="shared" si="8"/>
        <v>46752</v>
      </c>
      <c r="I119" s="64">
        <f t="shared" si="8"/>
        <v>47118</v>
      </c>
      <c r="J119" s="64">
        <f t="shared" si="8"/>
        <v>47483</v>
      </c>
      <c r="K119" s="64">
        <f t="shared" si="8"/>
        <v>47848</v>
      </c>
      <c r="L119" s="64">
        <f t="shared" si="8"/>
        <v>48213</v>
      </c>
      <c r="M119" s="64">
        <f t="shared" si="8"/>
        <v>48579</v>
      </c>
      <c r="N119" s="64">
        <f t="shared" si="8"/>
        <v>48944</v>
      </c>
      <c r="O119" s="64">
        <f t="shared" si="8"/>
        <v>49309</v>
      </c>
      <c r="P119" s="64">
        <f t="shared" si="8"/>
        <v>49674</v>
      </c>
      <c r="Q119" s="64">
        <f t="shared" si="8"/>
        <v>50040</v>
      </c>
      <c r="R119" s="64">
        <f t="shared" si="8"/>
        <v>50405</v>
      </c>
      <c r="S119" s="64">
        <f t="shared" si="8"/>
        <v>50770</v>
      </c>
      <c r="T119" s="64">
        <f t="shared" si="8"/>
        <v>51135</v>
      </c>
      <c r="U119" s="64">
        <f t="shared" si="8"/>
        <v>51501</v>
      </c>
      <c r="V119" s="33"/>
    </row>
    <row r="120" spans="2:25">
      <c r="B120" s="27" t="s">
        <v>217</v>
      </c>
      <c r="C120" s="33" t="s">
        <v>610</v>
      </c>
      <c r="D120" s="33" t="s">
        <v>611</v>
      </c>
      <c r="E120" s="33" t="s">
        <v>216</v>
      </c>
      <c r="F120" s="33"/>
      <c r="G120" s="67">
        <f t="shared" ref="G120:U120" si="9">IF(G$117=1,G$119-G$118+1,0)</f>
        <v>184</v>
      </c>
      <c r="H120" s="67">
        <f t="shared" si="9"/>
        <v>365</v>
      </c>
      <c r="I120" s="67">
        <f t="shared" si="9"/>
        <v>366</v>
      </c>
      <c r="J120" s="67">
        <f t="shared" si="9"/>
        <v>365</v>
      </c>
      <c r="K120" s="67">
        <f t="shared" si="9"/>
        <v>365</v>
      </c>
      <c r="L120" s="67">
        <f t="shared" si="9"/>
        <v>365</v>
      </c>
      <c r="M120" s="67">
        <f t="shared" si="9"/>
        <v>366</v>
      </c>
      <c r="N120" s="67">
        <f t="shared" si="9"/>
        <v>365</v>
      </c>
      <c r="O120" s="67">
        <f t="shared" si="9"/>
        <v>365</v>
      </c>
      <c r="P120" s="67">
        <f t="shared" si="9"/>
        <v>365</v>
      </c>
      <c r="Q120" s="67">
        <f t="shared" si="9"/>
        <v>0</v>
      </c>
      <c r="R120" s="67">
        <f t="shared" si="9"/>
        <v>0</v>
      </c>
      <c r="S120" s="67">
        <f t="shared" si="9"/>
        <v>0</v>
      </c>
      <c r="T120" s="67">
        <f t="shared" si="9"/>
        <v>0</v>
      </c>
      <c r="U120" s="67">
        <f t="shared" si="9"/>
        <v>0</v>
      </c>
      <c r="V120" s="67">
        <f>SUMPRODUCT($G$117:$U$117,G120:U120)</f>
        <v>3471</v>
      </c>
    </row>
    <row r="121" spans="2:25">
      <c r="B121" s="27" t="s">
        <v>612</v>
      </c>
      <c r="C121" s="33" t="s">
        <v>233</v>
      </c>
      <c r="D121" s="33" t="s">
        <v>398</v>
      </c>
      <c r="E121" s="33" t="s">
        <v>232</v>
      </c>
      <c r="F121" s="33"/>
      <c r="G121" s="58">
        <f t="shared" ref="G121:U121" si="10">IF(G$117=0,0,IF(G$115&lt;=2030,$F$39,IF(G$115&lt;=2035,IF(ISNUMBER($F$40),$F$40,$F$39),IF(ISNUMBER($F$41),$F$41,IF(ISNUMBER($F$40),$F$40,$F$39)))))</f>
        <v>2.76E-2</v>
      </c>
      <c r="H121" s="58">
        <f t="shared" si="10"/>
        <v>2.76E-2</v>
      </c>
      <c r="I121" s="58">
        <f t="shared" si="10"/>
        <v>2.76E-2</v>
      </c>
      <c r="J121" s="58">
        <f t="shared" si="10"/>
        <v>2.76E-2</v>
      </c>
      <c r="K121" s="58">
        <f t="shared" si="10"/>
        <v>2.76E-2</v>
      </c>
      <c r="L121" s="58">
        <f t="shared" si="10"/>
        <v>2.76E-2</v>
      </c>
      <c r="M121" s="58">
        <f t="shared" si="10"/>
        <v>2.76E-2</v>
      </c>
      <c r="N121" s="58">
        <f t="shared" si="10"/>
        <v>2.76E-2</v>
      </c>
      <c r="O121" s="58">
        <f t="shared" si="10"/>
        <v>2.76E-2</v>
      </c>
      <c r="P121" s="58">
        <f t="shared" si="10"/>
        <v>2.76E-2</v>
      </c>
      <c r="Q121" s="58">
        <f t="shared" si="10"/>
        <v>0</v>
      </c>
      <c r="R121" s="58">
        <f t="shared" si="10"/>
        <v>0</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MT400-05, 2026–2030</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
      </c>
      <c r="R122" s="44" t="str">
        <f t="shared" si="11"/>
        <v/>
      </c>
      <c r="S122" s="44" t="str">
        <f t="shared" si="11"/>
        <v/>
      </c>
      <c r="T122" s="44" t="str">
        <f t="shared" si="11"/>
        <v/>
      </c>
      <c r="U122" s="44" t="str">
        <f t="shared" si="11"/>
        <v/>
      </c>
      <c r="V122" s="33"/>
    </row>
    <row r="123" spans="2:25" ht="22.5">
      <c r="B123" s="25" t="str">
        <f>"Stratum 1: "&amp;IF(G$74="","not used",G$74)</f>
        <v>Stratum 1: Open defecation or unimproved (suppressed demand)</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10000</v>
      </c>
      <c r="H124" s="63">
        <v>26000</v>
      </c>
      <c r="I124" s="63">
        <v>36000</v>
      </c>
      <c r="J124" s="63">
        <v>42000</v>
      </c>
      <c r="K124" s="63">
        <v>45000</v>
      </c>
      <c r="L124" s="63">
        <v>45000</v>
      </c>
      <c r="M124" s="63">
        <v>45000</v>
      </c>
      <c r="N124" s="63">
        <v>45000</v>
      </c>
      <c r="O124" s="63">
        <v>45000</v>
      </c>
      <c r="P124" s="63">
        <v>45000</v>
      </c>
      <c r="Q124" s="63">
        <v>45000</v>
      </c>
      <c r="R124" s="63">
        <v>45000</v>
      </c>
      <c r="S124" s="63">
        <v>45000</v>
      </c>
      <c r="T124" s="63">
        <v>45000</v>
      </c>
      <c r="U124" s="63">
        <v>45000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1</v>
      </c>
      <c r="P127" s="45">
        <f t="shared" si="13"/>
        <v>1</v>
      </c>
      <c r="Q127" s="45">
        <f t="shared" si="13"/>
        <v>0</v>
      </c>
      <c r="R127" s="45">
        <f t="shared" si="13"/>
        <v>0</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353.13095999999996</v>
      </c>
      <c r="H128" s="34">
        <f t="shared" si="14"/>
        <v>1821.3113099999998</v>
      </c>
      <c r="I128" s="34">
        <f t="shared" si="14"/>
        <v>2528.7247440000001</v>
      </c>
      <c r="J128" s="34">
        <f t="shared" si="14"/>
        <v>2942.1182699999999</v>
      </c>
      <c r="K128" s="34">
        <f t="shared" si="14"/>
        <v>3152.2695749999998</v>
      </c>
      <c r="L128" s="34">
        <f t="shared" si="14"/>
        <v>3152.2695749999998</v>
      </c>
      <c r="M128" s="34">
        <f t="shared" si="14"/>
        <v>3160.9059299999999</v>
      </c>
      <c r="N128" s="34">
        <f t="shared" si="14"/>
        <v>3152.2695749999998</v>
      </c>
      <c r="O128" s="34">
        <f t="shared" si="14"/>
        <v>3152.2695749999998</v>
      </c>
      <c r="P128" s="34">
        <f t="shared" si="14"/>
        <v>3152.2695749999998</v>
      </c>
      <c r="Q128" s="34">
        <f t="shared" si="14"/>
        <v>0</v>
      </c>
      <c r="R128" s="34">
        <f t="shared" si="14"/>
        <v>0</v>
      </c>
      <c r="S128" s="34">
        <f t="shared" si="14"/>
        <v>0</v>
      </c>
      <c r="T128" s="34">
        <f t="shared" si="14"/>
        <v>0</v>
      </c>
      <c r="U128" s="34">
        <f t="shared" si="14"/>
        <v>0</v>
      </c>
      <c r="V128" s="34">
        <f t="shared" ref="V128:V136" si="15">SUMPRODUCT($G$117:$U$117,G128:U128)</f>
        <v>26567.539088999994</v>
      </c>
    </row>
    <row r="129" spans="2:25">
      <c r="B129" s="27" t="s">
        <v>628</v>
      </c>
      <c r="C129" s="33" t="s">
        <v>629</v>
      </c>
      <c r="D129" s="33" t="s">
        <v>359</v>
      </c>
      <c r="E129" s="33" t="s">
        <v>129</v>
      </c>
      <c r="F129" s="33"/>
      <c r="G129" s="34">
        <f t="shared" ref="G129:U129" si="16">IF($G$75="",0,G128*$G$83)</f>
        <v>242.41243609145161</v>
      </c>
      <c r="H129" s="34">
        <f t="shared" si="16"/>
        <v>1250.2684883194977</v>
      </c>
      <c r="I129" s="34">
        <f t="shared" si="16"/>
        <v>1735.8838358374821</v>
      </c>
      <c r="J129" s="34">
        <f t="shared" si="16"/>
        <v>2019.6644811314966</v>
      </c>
      <c r="K129" s="34">
        <f t="shared" si="16"/>
        <v>2163.9262297837463</v>
      </c>
      <c r="L129" s="34">
        <f t="shared" si="16"/>
        <v>2163.9262297837463</v>
      </c>
      <c r="M129" s="34">
        <f t="shared" si="16"/>
        <v>2169.8547947968523</v>
      </c>
      <c r="N129" s="34">
        <f t="shared" si="16"/>
        <v>2163.9262297837463</v>
      </c>
      <c r="O129" s="34">
        <f t="shared" si="16"/>
        <v>2163.9262297837463</v>
      </c>
      <c r="P129" s="34">
        <f t="shared" si="16"/>
        <v>2163.9262297837463</v>
      </c>
      <c r="Q129" s="34">
        <f t="shared" si="16"/>
        <v>0</v>
      </c>
      <c r="R129" s="34">
        <f t="shared" si="16"/>
        <v>0</v>
      </c>
      <c r="S129" s="34">
        <f t="shared" si="16"/>
        <v>0</v>
      </c>
      <c r="T129" s="34">
        <f t="shared" si="16"/>
        <v>0</v>
      </c>
      <c r="U129" s="34">
        <f t="shared" si="16"/>
        <v>0</v>
      </c>
      <c r="V129" s="34">
        <f t="shared" si="15"/>
        <v>18237.715185095512</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210.45247022923647</v>
      </c>
      <c r="H136" s="34">
        <f t="shared" si="23"/>
        <v>1062.5751822086027</v>
      </c>
      <c r="I136" s="34">
        <f t="shared" si="23"/>
        <v>1475.2887882803534</v>
      </c>
      <c r="J136" s="34">
        <f t="shared" si="23"/>
        <v>1697.810345485485</v>
      </c>
      <c r="K136" s="34">
        <f t="shared" si="23"/>
        <v>1819.0825130201627</v>
      </c>
      <c r="L136" s="34">
        <f t="shared" si="23"/>
        <v>1819.0825130201627</v>
      </c>
      <c r="M136" s="34">
        <f t="shared" si="23"/>
        <v>1824.0663007270671</v>
      </c>
      <c r="N136" s="34">
        <f t="shared" si="23"/>
        <v>1819.0825130201627</v>
      </c>
      <c r="O136" s="34">
        <f t="shared" si="23"/>
        <v>1819.0825130201627</v>
      </c>
      <c r="P136" s="34">
        <f t="shared" si="23"/>
        <v>1819.0825130201627</v>
      </c>
      <c r="Q136" s="34">
        <f t="shared" si="23"/>
        <v>0</v>
      </c>
      <c r="R136" s="34">
        <f t="shared" si="23"/>
        <v>0</v>
      </c>
      <c r="S136" s="34">
        <f t="shared" si="23"/>
        <v>0</v>
      </c>
      <c r="T136" s="34">
        <f t="shared" si="23"/>
        <v>0</v>
      </c>
      <c r="U136" s="34">
        <f t="shared" si="23"/>
        <v>0</v>
      </c>
      <c r="V136" s="34">
        <f t="shared" si="15"/>
        <v>15365.60565203156</v>
      </c>
      <c r="Y136" s="50" t="s">
        <v>643</v>
      </c>
    </row>
    <row r="137" spans="2:25">
      <c r="B137" s="25" t="str">
        <f>"Stratum 2: "&amp;IF(H$74="","not used",H$74)</f>
        <v>Stratum 2: Household dry pit latrines, replaced by CBS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4000</v>
      </c>
      <c r="H138" s="63">
        <v>10000</v>
      </c>
      <c r="I138" s="63">
        <v>12000</v>
      </c>
      <c r="J138" s="63">
        <v>12000</v>
      </c>
      <c r="K138" s="63">
        <v>12000</v>
      </c>
      <c r="L138" s="63">
        <v>12000</v>
      </c>
      <c r="M138" s="63">
        <v>12000</v>
      </c>
      <c r="N138" s="63">
        <v>12000</v>
      </c>
      <c r="O138" s="63">
        <v>12000</v>
      </c>
      <c r="P138" s="63">
        <v>12000</v>
      </c>
      <c r="Q138" s="63">
        <v>12000</v>
      </c>
      <c r="R138" s="63">
        <v>12000</v>
      </c>
      <c r="S138" s="63">
        <v>12000</v>
      </c>
      <c r="T138" s="63">
        <v>12000</v>
      </c>
      <c r="U138" s="63">
        <v>12000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v>
      </c>
      <c r="H141" s="45">
        <f t="shared" si="25"/>
        <v>1</v>
      </c>
      <c r="I141" s="45">
        <f t="shared" si="25"/>
        <v>1</v>
      </c>
      <c r="J141" s="45">
        <f t="shared" si="25"/>
        <v>1</v>
      </c>
      <c r="K141" s="45">
        <f t="shared" si="25"/>
        <v>1</v>
      </c>
      <c r="L141" s="45">
        <f t="shared" si="25"/>
        <v>1</v>
      </c>
      <c r="M141" s="45">
        <f t="shared" si="25"/>
        <v>1</v>
      </c>
      <c r="N141" s="45">
        <f t="shared" si="25"/>
        <v>1</v>
      </c>
      <c r="O141" s="45">
        <f t="shared" si="25"/>
        <v>1</v>
      </c>
      <c r="P141" s="45">
        <f t="shared" si="25"/>
        <v>1</v>
      </c>
      <c r="Q141" s="45">
        <f t="shared" si="25"/>
        <v>0</v>
      </c>
      <c r="R141" s="45">
        <f t="shared" si="25"/>
        <v>0</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45.749760000000002</v>
      </c>
      <c r="H142" s="34">
        <f t="shared" si="26"/>
        <v>226.88399999999999</v>
      </c>
      <c r="I142" s="34">
        <f t="shared" si="26"/>
        <v>273.00671999999997</v>
      </c>
      <c r="J142" s="34">
        <f t="shared" si="26"/>
        <v>272.26079999999996</v>
      </c>
      <c r="K142" s="34">
        <f t="shared" si="26"/>
        <v>272.26079999999996</v>
      </c>
      <c r="L142" s="34">
        <f t="shared" si="26"/>
        <v>272.26079999999996</v>
      </c>
      <c r="M142" s="34">
        <f t="shared" si="26"/>
        <v>273.00671999999997</v>
      </c>
      <c r="N142" s="34">
        <f t="shared" si="26"/>
        <v>272.26079999999996</v>
      </c>
      <c r="O142" s="34">
        <f t="shared" si="26"/>
        <v>272.26079999999996</v>
      </c>
      <c r="P142" s="34">
        <f t="shared" si="26"/>
        <v>272.26079999999996</v>
      </c>
      <c r="Q142" s="34">
        <f t="shared" si="26"/>
        <v>0</v>
      </c>
      <c r="R142" s="34">
        <f t="shared" si="26"/>
        <v>0</v>
      </c>
      <c r="S142" s="34">
        <f t="shared" si="26"/>
        <v>0</v>
      </c>
      <c r="T142" s="34">
        <f t="shared" si="26"/>
        <v>0</v>
      </c>
      <c r="U142" s="34">
        <f t="shared" si="26"/>
        <v>0</v>
      </c>
      <c r="V142" s="34">
        <f t="shared" ref="V142:V150" si="27">SUMPRODUCT($G$117:$U$117,G142:U142)</f>
        <v>2452.212</v>
      </c>
    </row>
    <row r="143" spans="2:25">
      <c r="B143" s="27" t="s">
        <v>628</v>
      </c>
      <c r="C143" s="33" t="s">
        <v>629</v>
      </c>
      <c r="D143" s="33" t="s">
        <v>359</v>
      </c>
      <c r="E143" s="33" t="s">
        <v>129</v>
      </c>
      <c r="F143" s="33"/>
      <c r="G143" s="34">
        <f t="shared" ref="G143:U143" si="28">IF($H$75="",0,G142*$H$83)</f>
        <v>26.077363200000001</v>
      </c>
      <c r="H143" s="34">
        <f t="shared" si="28"/>
        <v>129.32387999999997</v>
      </c>
      <c r="I143" s="34">
        <f t="shared" si="28"/>
        <v>155.61383039999998</v>
      </c>
      <c r="J143" s="34">
        <f t="shared" si="28"/>
        <v>155.18865599999995</v>
      </c>
      <c r="K143" s="34">
        <f t="shared" si="28"/>
        <v>155.18865599999995</v>
      </c>
      <c r="L143" s="34">
        <f t="shared" si="28"/>
        <v>155.18865599999995</v>
      </c>
      <c r="M143" s="34">
        <f t="shared" si="28"/>
        <v>155.61383039999998</v>
      </c>
      <c r="N143" s="34">
        <f t="shared" si="28"/>
        <v>155.18865599999995</v>
      </c>
      <c r="O143" s="34">
        <f t="shared" si="28"/>
        <v>155.18865599999995</v>
      </c>
      <c r="P143" s="34">
        <f t="shared" si="28"/>
        <v>155.18865599999995</v>
      </c>
      <c r="Q143" s="34">
        <f t="shared" si="28"/>
        <v>0</v>
      </c>
      <c r="R143" s="34">
        <f t="shared" si="28"/>
        <v>0</v>
      </c>
      <c r="S143" s="34">
        <f t="shared" si="28"/>
        <v>0</v>
      </c>
      <c r="T143" s="34">
        <f t="shared" si="28"/>
        <v>0</v>
      </c>
      <c r="U143" s="34">
        <f t="shared" si="28"/>
        <v>0</v>
      </c>
      <c r="V143" s="34">
        <f t="shared" si="27"/>
        <v>1397.7608399999997</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22.639290256687108</v>
      </c>
      <c r="H150" s="34">
        <f t="shared" si="35"/>
        <v>109.90946875708799</v>
      </c>
      <c r="I150" s="34">
        <f t="shared" si="35"/>
        <v>132.25270870715903</v>
      </c>
      <c r="J150" s="34">
        <f t="shared" si="35"/>
        <v>130.45776074210875</v>
      </c>
      <c r="K150" s="34">
        <f t="shared" si="35"/>
        <v>130.45776074210875</v>
      </c>
      <c r="L150" s="34">
        <f t="shared" si="35"/>
        <v>130.45776074210875</v>
      </c>
      <c r="M150" s="34">
        <f t="shared" si="35"/>
        <v>130.8151792646899</v>
      </c>
      <c r="N150" s="34">
        <f t="shared" si="35"/>
        <v>130.45776074210875</v>
      </c>
      <c r="O150" s="34">
        <f t="shared" si="35"/>
        <v>130.45776074210875</v>
      </c>
      <c r="P150" s="34">
        <f t="shared" si="35"/>
        <v>130.45776074210875</v>
      </c>
      <c r="Q150" s="34">
        <f t="shared" si="35"/>
        <v>0</v>
      </c>
      <c r="R150" s="34">
        <f t="shared" si="35"/>
        <v>0</v>
      </c>
      <c r="S150" s="34">
        <f t="shared" si="35"/>
        <v>0</v>
      </c>
      <c r="T150" s="34">
        <f t="shared" si="35"/>
        <v>0</v>
      </c>
      <c r="U150" s="34">
        <f t="shared" si="35"/>
        <v>0</v>
      </c>
      <c r="V150" s="34">
        <f t="shared" si="27"/>
        <v>1178.3632114382767</v>
      </c>
    </row>
    <row r="151" spans="2:25">
      <c r="B151" s="25" t="str">
        <f>"Stratum 3: "&amp;IF(I$74="","not used",I$74)</f>
        <v>Stratum 3: Prior practice unknown</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1000</v>
      </c>
      <c r="H152" s="63">
        <v>2500</v>
      </c>
      <c r="I152" s="63">
        <v>3000</v>
      </c>
      <c r="J152" s="63">
        <v>3000</v>
      </c>
      <c r="K152" s="63">
        <v>3000</v>
      </c>
      <c r="L152" s="63">
        <v>3000</v>
      </c>
      <c r="M152" s="63">
        <v>3000</v>
      </c>
      <c r="N152" s="63">
        <v>3000</v>
      </c>
      <c r="O152" s="63">
        <v>3000</v>
      </c>
      <c r="P152" s="63">
        <v>3000</v>
      </c>
      <c r="Q152" s="63">
        <v>3000</v>
      </c>
      <c r="R152" s="63">
        <v>3000</v>
      </c>
      <c r="S152" s="63">
        <v>3000</v>
      </c>
      <c r="T152" s="63">
        <v>3000</v>
      </c>
      <c r="U152" s="63">
        <v>3000</v>
      </c>
      <c r="V152" s="33"/>
    </row>
    <row r="153" spans="2:25">
      <c r="B153" s="27" t="s">
        <v>617</v>
      </c>
      <c r="C153" s="33" t="s">
        <v>618</v>
      </c>
      <c r="D153" s="33" t="s">
        <v>619</v>
      </c>
      <c r="E153" s="33" t="s">
        <v>255</v>
      </c>
      <c r="F153" s="33"/>
      <c r="G153" s="68"/>
      <c r="H153" s="68"/>
      <c r="I153" s="68"/>
      <c r="J153" s="68"/>
      <c r="K153" s="68"/>
      <c r="L153" s="68"/>
      <c r="M153" s="68"/>
      <c r="N153" s="68"/>
      <c r="O153" s="68"/>
      <c r="P153" s="68"/>
      <c r="Q153" s="68"/>
      <c r="R153" s="68"/>
      <c r="S153" s="68"/>
      <c r="T153" s="68"/>
      <c r="U153" s="68"/>
      <c r="V153" s="43">
        <f>SUMPRODUCT($G$117:$U$117,G153:U153)</f>
        <v>0</v>
      </c>
      <c r="Y153" s="50" t="s">
        <v>620</v>
      </c>
    </row>
    <row r="154" spans="2:25">
      <c r="B154" s="27" t="s">
        <v>621</v>
      </c>
      <c r="C154" s="33" t="s">
        <v>622</v>
      </c>
      <c r="D154" s="33" t="s">
        <v>619</v>
      </c>
      <c r="E154" s="33" t="s">
        <v>168</v>
      </c>
      <c r="F154" s="33"/>
      <c r="G154" s="68"/>
      <c r="H154" s="68"/>
      <c r="I154" s="68"/>
      <c r="J154" s="68"/>
      <c r="K154" s="68"/>
      <c r="L154" s="68"/>
      <c r="M154" s="68"/>
      <c r="N154" s="68"/>
      <c r="O154" s="68"/>
      <c r="P154" s="68"/>
      <c r="Q154" s="68"/>
      <c r="R154" s="68"/>
      <c r="S154" s="68"/>
      <c r="T154" s="68"/>
      <c r="U154" s="68"/>
      <c r="V154" s="43">
        <f>SUMPRODUCT($G$117:$U$117,G154:U154)</f>
        <v>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1</v>
      </c>
      <c r="H155" s="45">
        <f t="shared" si="37"/>
        <v>1</v>
      </c>
      <c r="I155" s="45">
        <f t="shared" si="37"/>
        <v>1</v>
      </c>
      <c r="J155" s="45">
        <f t="shared" si="37"/>
        <v>1</v>
      </c>
      <c r="K155" s="45">
        <f t="shared" si="37"/>
        <v>1</v>
      </c>
      <c r="L155" s="45">
        <f t="shared" si="37"/>
        <v>1</v>
      </c>
      <c r="M155" s="45">
        <f t="shared" si="37"/>
        <v>1</v>
      </c>
      <c r="N155" s="45">
        <f t="shared" si="37"/>
        <v>1</v>
      </c>
      <c r="O155" s="45">
        <f t="shared" si="37"/>
        <v>1</v>
      </c>
      <c r="P155" s="45">
        <f t="shared" si="37"/>
        <v>1</v>
      </c>
      <c r="Q155" s="45">
        <f t="shared" si="37"/>
        <v>0</v>
      </c>
      <c r="R155" s="45">
        <f t="shared" si="37"/>
        <v>0</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0</v>
      </c>
      <c r="H156" s="34">
        <f t="shared" si="38"/>
        <v>0</v>
      </c>
      <c r="I156" s="34">
        <f t="shared" si="38"/>
        <v>0</v>
      </c>
      <c r="J156" s="34">
        <f t="shared" si="38"/>
        <v>0</v>
      </c>
      <c r="K156" s="34">
        <f t="shared" si="38"/>
        <v>0</v>
      </c>
      <c r="L156" s="34">
        <f t="shared" si="38"/>
        <v>0</v>
      </c>
      <c r="M156" s="34">
        <f t="shared" si="38"/>
        <v>0</v>
      </c>
      <c r="N156" s="34">
        <f t="shared" si="38"/>
        <v>0</v>
      </c>
      <c r="O156" s="34">
        <f t="shared" si="38"/>
        <v>0</v>
      </c>
      <c r="P156" s="34">
        <f t="shared" si="38"/>
        <v>0</v>
      </c>
      <c r="Q156" s="34">
        <f t="shared" si="38"/>
        <v>0</v>
      </c>
      <c r="R156" s="34">
        <f t="shared" si="38"/>
        <v>0</v>
      </c>
      <c r="S156" s="34">
        <f t="shared" si="38"/>
        <v>0</v>
      </c>
      <c r="T156" s="34">
        <f t="shared" si="38"/>
        <v>0</v>
      </c>
      <c r="U156" s="34">
        <f t="shared" si="38"/>
        <v>0</v>
      </c>
      <c r="V156" s="34">
        <f t="shared" ref="V156:V164" si="39">SUMPRODUCT($G$117:$U$117,G156:U156)</f>
        <v>0</v>
      </c>
    </row>
    <row r="157" spans="2:25">
      <c r="B157" s="27" t="s">
        <v>628</v>
      </c>
      <c r="C157" s="33" t="s">
        <v>629</v>
      </c>
      <c r="D157" s="33" t="s">
        <v>359</v>
      </c>
      <c r="E157" s="33" t="s">
        <v>129</v>
      </c>
      <c r="F157" s="33"/>
      <c r="G157" s="34">
        <f t="shared" ref="G157:U157" si="40">IF($I$75="",0,G156*$I$83)</f>
        <v>0</v>
      </c>
      <c r="H157" s="34">
        <f t="shared" si="40"/>
        <v>0</v>
      </c>
      <c r="I157" s="34">
        <f t="shared" si="40"/>
        <v>0</v>
      </c>
      <c r="J157" s="34">
        <f t="shared" si="40"/>
        <v>0</v>
      </c>
      <c r="K157" s="34">
        <f t="shared" si="40"/>
        <v>0</v>
      </c>
      <c r="L157" s="34">
        <f t="shared" si="40"/>
        <v>0</v>
      </c>
      <c r="M157" s="34">
        <f t="shared" si="40"/>
        <v>0</v>
      </c>
      <c r="N157" s="34">
        <f t="shared" si="40"/>
        <v>0</v>
      </c>
      <c r="O157" s="34">
        <f t="shared" si="40"/>
        <v>0</v>
      </c>
      <c r="P157" s="34">
        <f t="shared" si="40"/>
        <v>0</v>
      </c>
      <c r="Q157" s="34">
        <f t="shared" si="40"/>
        <v>0</v>
      </c>
      <c r="R157" s="34">
        <f t="shared" si="40"/>
        <v>0</v>
      </c>
      <c r="S157" s="34">
        <f t="shared" si="40"/>
        <v>0</v>
      </c>
      <c r="T157" s="34">
        <f t="shared" si="40"/>
        <v>0</v>
      </c>
      <c r="U157" s="34">
        <f t="shared" si="40"/>
        <v>0</v>
      </c>
      <c r="V157" s="34">
        <f t="shared" si="39"/>
        <v>0</v>
      </c>
    </row>
    <row r="158" spans="2:25" ht="21">
      <c r="B158" s="27" t="s">
        <v>630</v>
      </c>
      <c r="C158" s="33" t="s">
        <v>631</v>
      </c>
      <c r="D158" s="33" t="s">
        <v>359</v>
      </c>
      <c r="E158" s="33" t="s">
        <v>632</v>
      </c>
      <c r="F158" s="33"/>
      <c r="G158" s="34">
        <f t="shared" ref="G158:U158" si="41">IF(OR($I$88="FST",$I$88="WW"),N(G152)*G$120*$F$22*$F$25*$I$90*G155*$F$30/1000,0)</f>
        <v>0</v>
      </c>
      <c r="H158" s="34">
        <f t="shared" si="41"/>
        <v>0</v>
      </c>
      <c r="I158" s="34">
        <f t="shared" si="41"/>
        <v>0</v>
      </c>
      <c r="J158" s="34">
        <f t="shared" si="41"/>
        <v>0</v>
      </c>
      <c r="K158" s="34">
        <f t="shared" si="41"/>
        <v>0</v>
      </c>
      <c r="L158" s="34">
        <f t="shared" si="41"/>
        <v>0</v>
      </c>
      <c r="M158" s="34">
        <f t="shared" si="41"/>
        <v>0</v>
      </c>
      <c r="N158" s="34">
        <f t="shared" si="41"/>
        <v>0</v>
      </c>
      <c r="O158" s="34">
        <f t="shared" si="41"/>
        <v>0</v>
      </c>
      <c r="P158" s="34">
        <f t="shared" si="41"/>
        <v>0</v>
      </c>
      <c r="Q158" s="34">
        <f t="shared" si="41"/>
        <v>0</v>
      </c>
      <c r="R158" s="34">
        <f t="shared" si="41"/>
        <v>0</v>
      </c>
      <c r="S158" s="34">
        <f t="shared" si="41"/>
        <v>0</v>
      </c>
      <c r="T158" s="34">
        <f t="shared" si="41"/>
        <v>0</v>
      </c>
      <c r="U158" s="34">
        <f t="shared" si="41"/>
        <v>0</v>
      </c>
      <c r="V158" s="34">
        <f t="shared" si="39"/>
        <v>0</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0</v>
      </c>
      <c r="H160" s="34">
        <f t="shared" si="43"/>
        <v>0</v>
      </c>
      <c r="I160" s="34">
        <f t="shared" si="43"/>
        <v>0</v>
      </c>
      <c r="J160" s="34">
        <f t="shared" si="43"/>
        <v>0</v>
      </c>
      <c r="K160" s="34">
        <f t="shared" si="43"/>
        <v>0</v>
      </c>
      <c r="L160" s="34">
        <f t="shared" si="43"/>
        <v>0</v>
      </c>
      <c r="M160" s="34">
        <f t="shared" si="43"/>
        <v>0</v>
      </c>
      <c r="N160" s="34">
        <f t="shared" si="43"/>
        <v>0</v>
      </c>
      <c r="O160" s="34">
        <f t="shared" si="43"/>
        <v>0</v>
      </c>
      <c r="P160" s="34">
        <f t="shared" si="43"/>
        <v>0</v>
      </c>
      <c r="Q160" s="34">
        <f t="shared" si="43"/>
        <v>0</v>
      </c>
      <c r="R160" s="34">
        <f t="shared" si="43"/>
        <v>0</v>
      </c>
      <c r="S160" s="34">
        <f t="shared" si="43"/>
        <v>0</v>
      </c>
      <c r="T160" s="34">
        <f t="shared" si="43"/>
        <v>0</v>
      </c>
      <c r="U160" s="34">
        <f t="shared" si="43"/>
        <v>0</v>
      </c>
      <c r="V160" s="34">
        <f t="shared" si="39"/>
        <v>0</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0</v>
      </c>
      <c r="H164" s="34">
        <f t="shared" si="47"/>
        <v>0</v>
      </c>
      <c r="I164" s="34">
        <f t="shared" si="47"/>
        <v>0</v>
      </c>
      <c r="J164" s="34">
        <f t="shared" si="47"/>
        <v>0</v>
      </c>
      <c r="K164" s="34">
        <f t="shared" si="47"/>
        <v>0</v>
      </c>
      <c r="L164" s="34">
        <f t="shared" si="47"/>
        <v>0</v>
      </c>
      <c r="M164" s="34">
        <f t="shared" si="47"/>
        <v>0</v>
      </c>
      <c r="N164" s="34">
        <f t="shared" si="47"/>
        <v>0</v>
      </c>
      <c r="O164" s="34">
        <f t="shared" si="47"/>
        <v>0</v>
      </c>
      <c r="P164" s="34">
        <f t="shared" si="47"/>
        <v>0</v>
      </c>
      <c r="Q164" s="34">
        <f t="shared" si="47"/>
        <v>0</v>
      </c>
      <c r="R164" s="34">
        <f t="shared" si="47"/>
        <v>0</v>
      </c>
      <c r="S164" s="34">
        <f t="shared" si="47"/>
        <v>0</v>
      </c>
      <c r="T164" s="34">
        <f t="shared" si="47"/>
        <v>0</v>
      </c>
      <c r="U164" s="34">
        <f t="shared" si="47"/>
        <v>0</v>
      </c>
      <c r="V164" s="34">
        <f t="shared" si="39"/>
        <v>0</v>
      </c>
    </row>
    <row r="165" spans="2:25">
      <c r="B165" s="25" t="str">
        <f>"Stratum 4: "&amp;IF(J$74="","not used",J$74)</f>
        <v>Stratum 4: not used</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c r="H166" s="63"/>
      <c r="I166" s="63"/>
      <c r="J166" s="63"/>
      <c r="K166" s="63"/>
      <c r="L166" s="63"/>
      <c r="M166" s="63"/>
      <c r="N166" s="63"/>
      <c r="O166" s="63"/>
      <c r="P166" s="63"/>
      <c r="Q166" s="63"/>
      <c r="R166" s="63"/>
      <c r="S166" s="63"/>
      <c r="T166" s="63"/>
      <c r="U166" s="63"/>
      <c r="V166" s="33"/>
    </row>
    <row r="167" spans="2:25">
      <c r="B167" s="27" t="s">
        <v>617</v>
      </c>
      <c r="C167" s="33" t="s">
        <v>618</v>
      </c>
      <c r="D167" s="33" t="s">
        <v>619</v>
      </c>
      <c r="E167" s="33" t="s">
        <v>255</v>
      </c>
      <c r="F167" s="33"/>
      <c r="G167" s="68"/>
      <c r="H167" s="68"/>
      <c r="I167" s="68"/>
      <c r="J167" s="68"/>
      <c r="K167" s="68"/>
      <c r="L167" s="68"/>
      <c r="M167" s="68"/>
      <c r="N167" s="68"/>
      <c r="O167" s="68"/>
      <c r="P167" s="68"/>
      <c r="Q167" s="68"/>
      <c r="R167" s="68"/>
      <c r="S167" s="68"/>
      <c r="T167" s="68"/>
      <c r="U167" s="68"/>
      <c r="V167" s="43">
        <f>SUMPRODUCT($G$117:$U$117,G167:U167)</f>
        <v>0</v>
      </c>
      <c r="Y167" s="50" t="s">
        <v>620</v>
      </c>
    </row>
    <row r="168" spans="2:25">
      <c r="B168" s="27" t="s">
        <v>621</v>
      </c>
      <c r="C168" s="33" t="s">
        <v>622</v>
      </c>
      <c r="D168" s="33" t="s">
        <v>619</v>
      </c>
      <c r="E168" s="33" t="s">
        <v>168</v>
      </c>
      <c r="F168" s="33"/>
      <c r="G168" s="68"/>
      <c r="H168" s="68"/>
      <c r="I168" s="68"/>
      <c r="J168" s="68"/>
      <c r="K168" s="68"/>
      <c r="L168" s="68"/>
      <c r="M168" s="68"/>
      <c r="N168" s="68"/>
      <c r="O168" s="68"/>
      <c r="P168" s="68"/>
      <c r="Q168" s="68"/>
      <c r="R168" s="68"/>
      <c r="S168" s="68"/>
      <c r="T168" s="68"/>
      <c r="U168" s="68"/>
      <c r="V168" s="43">
        <f>SUMPRODUCT($G$117:$U$117,G168:U168)</f>
        <v>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0</v>
      </c>
      <c r="H169" s="45">
        <f t="shared" si="49"/>
        <v>0</v>
      </c>
      <c r="I169" s="45">
        <f t="shared" si="49"/>
        <v>0</v>
      </c>
      <c r="J169" s="45">
        <f t="shared" si="49"/>
        <v>0</v>
      </c>
      <c r="K169" s="45">
        <f t="shared" si="49"/>
        <v>0</v>
      </c>
      <c r="L169" s="45">
        <f t="shared" si="49"/>
        <v>0</v>
      </c>
      <c r="M169" s="45">
        <f t="shared" si="49"/>
        <v>0</v>
      </c>
      <c r="N169" s="45">
        <f t="shared" si="49"/>
        <v>0</v>
      </c>
      <c r="O169" s="45">
        <f t="shared" si="49"/>
        <v>0</v>
      </c>
      <c r="P169" s="45">
        <f t="shared" si="49"/>
        <v>0</v>
      </c>
      <c r="Q169" s="45">
        <f t="shared" si="49"/>
        <v>0</v>
      </c>
      <c r="R169" s="45">
        <f t="shared" si="49"/>
        <v>0</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0</v>
      </c>
      <c r="H170" s="34">
        <f t="shared" si="50"/>
        <v>0</v>
      </c>
      <c r="I170" s="34">
        <f t="shared" si="50"/>
        <v>0</v>
      </c>
      <c r="J170" s="34">
        <f t="shared" si="50"/>
        <v>0</v>
      </c>
      <c r="K170" s="34">
        <f t="shared" si="50"/>
        <v>0</v>
      </c>
      <c r="L170" s="34">
        <f t="shared" si="50"/>
        <v>0</v>
      </c>
      <c r="M170" s="34">
        <f t="shared" si="50"/>
        <v>0</v>
      </c>
      <c r="N170" s="34">
        <f t="shared" si="50"/>
        <v>0</v>
      </c>
      <c r="O170" s="34">
        <f t="shared" si="50"/>
        <v>0</v>
      </c>
      <c r="P170" s="34">
        <f t="shared" si="50"/>
        <v>0</v>
      </c>
      <c r="Q170" s="34">
        <f t="shared" si="50"/>
        <v>0</v>
      </c>
      <c r="R170" s="34">
        <f t="shared" si="50"/>
        <v>0</v>
      </c>
      <c r="S170" s="34">
        <f t="shared" si="50"/>
        <v>0</v>
      </c>
      <c r="T170" s="34">
        <f t="shared" si="50"/>
        <v>0</v>
      </c>
      <c r="U170" s="34">
        <f t="shared" si="50"/>
        <v>0</v>
      </c>
      <c r="V170" s="34">
        <f t="shared" ref="V170:V178" si="51">SUMPRODUCT($G$117:$U$117,G170:U170)</f>
        <v>0</v>
      </c>
    </row>
    <row r="171" spans="2:25">
      <c r="B171" s="27" t="s">
        <v>628</v>
      </c>
      <c r="C171" s="33" t="s">
        <v>629</v>
      </c>
      <c r="D171" s="33" t="s">
        <v>359</v>
      </c>
      <c r="E171" s="33" t="s">
        <v>129</v>
      </c>
      <c r="F171" s="33"/>
      <c r="G171" s="34">
        <f t="shared" ref="G171:U171" si="52">IF($J$75="",0,G170*$J$83)</f>
        <v>0</v>
      </c>
      <c r="H171" s="34">
        <f t="shared" si="52"/>
        <v>0</v>
      </c>
      <c r="I171" s="34">
        <f t="shared" si="52"/>
        <v>0</v>
      </c>
      <c r="J171" s="34">
        <f t="shared" si="52"/>
        <v>0</v>
      </c>
      <c r="K171" s="34">
        <f t="shared" si="52"/>
        <v>0</v>
      </c>
      <c r="L171" s="34">
        <f t="shared" si="52"/>
        <v>0</v>
      </c>
      <c r="M171" s="34">
        <f t="shared" si="52"/>
        <v>0</v>
      </c>
      <c r="N171" s="34">
        <f t="shared" si="52"/>
        <v>0</v>
      </c>
      <c r="O171" s="34">
        <f t="shared" si="52"/>
        <v>0</v>
      </c>
      <c r="P171" s="34">
        <f t="shared" si="52"/>
        <v>0</v>
      </c>
      <c r="Q171" s="34">
        <f t="shared" si="52"/>
        <v>0</v>
      </c>
      <c r="R171" s="34">
        <f t="shared" si="52"/>
        <v>0</v>
      </c>
      <c r="S171" s="34">
        <f t="shared" si="52"/>
        <v>0</v>
      </c>
      <c r="T171" s="34">
        <f t="shared" si="52"/>
        <v>0</v>
      </c>
      <c r="U171" s="34">
        <f t="shared" si="52"/>
        <v>0</v>
      </c>
      <c r="V171" s="34">
        <f t="shared" si="51"/>
        <v>0</v>
      </c>
    </row>
    <row r="172" spans="2:25" ht="21">
      <c r="B172" s="27" t="s">
        <v>630</v>
      </c>
      <c r="C172" s="33" t="s">
        <v>631</v>
      </c>
      <c r="D172" s="33" t="s">
        <v>359</v>
      </c>
      <c r="E172" s="33" t="s">
        <v>632</v>
      </c>
      <c r="F172" s="33"/>
      <c r="G172" s="34">
        <f t="shared" ref="G172:U172" si="53">IF(OR($J$88="FST",$J$88="WW"),N(G166)*G$120*$F$22*$F$25*$J$90*G169*$F$30/1000,0)</f>
        <v>0</v>
      </c>
      <c r="H172" s="34">
        <f t="shared" si="53"/>
        <v>0</v>
      </c>
      <c r="I172" s="34">
        <f t="shared" si="53"/>
        <v>0</v>
      </c>
      <c r="J172" s="34">
        <f t="shared" si="53"/>
        <v>0</v>
      </c>
      <c r="K172" s="34">
        <f t="shared" si="53"/>
        <v>0</v>
      </c>
      <c r="L172" s="34">
        <f t="shared" si="53"/>
        <v>0</v>
      </c>
      <c r="M172" s="34">
        <f t="shared" si="53"/>
        <v>0</v>
      </c>
      <c r="N172" s="34">
        <f t="shared" si="53"/>
        <v>0</v>
      </c>
      <c r="O172" s="34">
        <f t="shared" si="53"/>
        <v>0</v>
      </c>
      <c r="P172" s="34">
        <f t="shared" si="53"/>
        <v>0</v>
      </c>
      <c r="Q172" s="34">
        <f t="shared" si="53"/>
        <v>0</v>
      </c>
      <c r="R172" s="34">
        <f t="shared" si="53"/>
        <v>0</v>
      </c>
      <c r="S172" s="34">
        <f t="shared" si="53"/>
        <v>0</v>
      </c>
      <c r="T172" s="34">
        <f t="shared" si="53"/>
        <v>0</v>
      </c>
      <c r="U172" s="34">
        <f t="shared" si="53"/>
        <v>0</v>
      </c>
      <c r="V172" s="34">
        <f t="shared" si="51"/>
        <v>0</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0</v>
      </c>
      <c r="H174" s="34">
        <f t="shared" si="55"/>
        <v>0</v>
      </c>
      <c r="I174" s="34">
        <f t="shared" si="55"/>
        <v>0</v>
      </c>
      <c r="J174" s="34">
        <f t="shared" si="55"/>
        <v>0</v>
      </c>
      <c r="K174" s="34">
        <f t="shared" si="55"/>
        <v>0</v>
      </c>
      <c r="L174" s="34">
        <f t="shared" si="55"/>
        <v>0</v>
      </c>
      <c r="M174" s="34">
        <f t="shared" si="55"/>
        <v>0</v>
      </c>
      <c r="N174" s="34">
        <f t="shared" si="55"/>
        <v>0</v>
      </c>
      <c r="O174" s="34">
        <f t="shared" si="55"/>
        <v>0</v>
      </c>
      <c r="P174" s="34">
        <f t="shared" si="55"/>
        <v>0</v>
      </c>
      <c r="Q174" s="34">
        <f t="shared" si="55"/>
        <v>0</v>
      </c>
      <c r="R174" s="34">
        <f t="shared" si="55"/>
        <v>0</v>
      </c>
      <c r="S174" s="34">
        <f t="shared" si="55"/>
        <v>0</v>
      </c>
      <c r="T174" s="34">
        <f t="shared" si="55"/>
        <v>0</v>
      </c>
      <c r="U174" s="34">
        <f t="shared" si="55"/>
        <v>0</v>
      </c>
      <c r="V174" s="34">
        <f t="shared" si="51"/>
        <v>0</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0</v>
      </c>
      <c r="H178" s="34">
        <f t="shared" si="59"/>
        <v>0</v>
      </c>
      <c r="I178" s="34">
        <f t="shared" si="59"/>
        <v>0</v>
      </c>
      <c r="J178" s="34">
        <f t="shared" si="59"/>
        <v>0</v>
      </c>
      <c r="K178" s="34">
        <f t="shared" si="59"/>
        <v>0</v>
      </c>
      <c r="L178" s="34">
        <f t="shared" si="59"/>
        <v>0</v>
      </c>
      <c r="M178" s="34">
        <f t="shared" si="59"/>
        <v>0</v>
      </c>
      <c r="N178" s="34">
        <f t="shared" si="59"/>
        <v>0</v>
      </c>
      <c r="O178" s="34">
        <f t="shared" si="59"/>
        <v>0</v>
      </c>
      <c r="P178" s="34">
        <f t="shared" si="59"/>
        <v>0</v>
      </c>
      <c r="Q178" s="34">
        <f t="shared" si="59"/>
        <v>0</v>
      </c>
      <c r="R178" s="34">
        <f t="shared" si="59"/>
        <v>0</v>
      </c>
      <c r="S178" s="34">
        <f t="shared" si="59"/>
        <v>0</v>
      </c>
      <c r="T178" s="34">
        <f t="shared" si="59"/>
        <v>0</v>
      </c>
      <c r="U178" s="34">
        <f t="shared" si="59"/>
        <v>0</v>
      </c>
      <c r="V178" s="34">
        <f t="shared" si="51"/>
        <v>0</v>
      </c>
    </row>
    <row r="179" spans="2:25">
      <c r="B179" s="25" t="str">
        <f>"Stratum 5: "&amp;IF(K$74="","not used",K$74)</f>
        <v>Stratum 5: not used</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c r="H180" s="63"/>
      <c r="I180" s="63"/>
      <c r="J180" s="63"/>
      <c r="K180" s="63"/>
      <c r="L180" s="63"/>
      <c r="M180" s="63"/>
      <c r="N180" s="63"/>
      <c r="O180" s="63"/>
      <c r="P180" s="63"/>
      <c r="Q180" s="63"/>
      <c r="R180" s="63"/>
      <c r="S180" s="63"/>
      <c r="T180" s="63"/>
      <c r="U180" s="63"/>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0</v>
      </c>
      <c r="H183" s="45">
        <f t="shared" si="61"/>
        <v>0</v>
      </c>
      <c r="I183" s="45">
        <f t="shared" si="61"/>
        <v>0</v>
      </c>
      <c r="J183" s="45">
        <f t="shared" si="61"/>
        <v>0</v>
      </c>
      <c r="K183" s="45">
        <f t="shared" si="61"/>
        <v>0</v>
      </c>
      <c r="L183" s="45">
        <f t="shared" si="61"/>
        <v>0</v>
      </c>
      <c r="M183" s="45">
        <f t="shared" si="61"/>
        <v>0</v>
      </c>
      <c r="N183" s="45">
        <f t="shared" si="61"/>
        <v>0</v>
      </c>
      <c r="O183" s="45">
        <f t="shared" si="61"/>
        <v>0</v>
      </c>
      <c r="P183" s="45">
        <f t="shared" si="61"/>
        <v>0</v>
      </c>
      <c r="Q183" s="45">
        <f t="shared" si="61"/>
        <v>0</v>
      </c>
      <c r="R183" s="45">
        <f t="shared" si="61"/>
        <v>0</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0</v>
      </c>
      <c r="H184" s="34">
        <f t="shared" si="62"/>
        <v>0</v>
      </c>
      <c r="I184" s="34">
        <f t="shared" si="62"/>
        <v>0</v>
      </c>
      <c r="J184" s="34">
        <f t="shared" si="62"/>
        <v>0</v>
      </c>
      <c r="K184" s="34">
        <f t="shared" si="62"/>
        <v>0</v>
      </c>
      <c r="L184" s="34">
        <f t="shared" si="62"/>
        <v>0</v>
      </c>
      <c r="M184" s="34">
        <f t="shared" si="62"/>
        <v>0</v>
      </c>
      <c r="N184" s="34">
        <f t="shared" si="62"/>
        <v>0</v>
      </c>
      <c r="O184" s="34">
        <f t="shared" si="62"/>
        <v>0</v>
      </c>
      <c r="P184" s="34">
        <f t="shared" si="62"/>
        <v>0</v>
      </c>
      <c r="Q184" s="34">
        <f t="shared" si="62"/>
        <v>0</v>
      </c>
      <c r="R184" s="34">
        <f t="shared" si="62"/>
        <v>0</v>
      </c>
      <c r="S184" s="34">
        <f t="shared" si="62"/>
        <v>0</v>
      </c>
      <c r="T184" s="34">
        <f t="shared" si="62"/>
        <v>0</v>
      </c>
      <c r="U184" s="34">
        <f t="shared" si="62"/>
        <v>0</v>
      </c>
      <c r="V184" s="34">
        <f t="shared" ref="V184:V192" si="63">SUMPRODUCT($G$117:$U$117,G184:U184)</f>
        <v>0</v>
      </c>
    </row>
    <row r="185" spans="2:25">
      <c r="B185" s="27" t="s">
        <v>628</v>
      </c>
      <c r="C185" s="33" t="s">
        <v>629</v>
      </c>
      <c r="D185" s="33" t="s">
        <v>359</v>
      </c>
      <c r="E185" s="33" t="s">
        <v>129</v>
      </c>
      <c r="F185" s="33"/>
      <c r="G185" s="34">
        <f t="shared" ref="G185:U185" si="64">IF($K$75="",0,G184*$K$83)</f>
        <v>0</v>
      </c>
      <c r="H185" s="34">
        <f t="shared" si="64"/>
        <v>0</v>
      </c>
      <c r="I185" s="34">
        <f t="shared" si="64"/>
        <v>0</v>
      </c>
      <c r="J185" s="34">
        <f t="shared" si="64"/>
        <v>0</v>
      </c>
      <c r="K185" s="34">
        <f t="shared" si="64"/>
        <v>0</v>
      </c>
      <c r="L185" s="34">
        <f t="shared" si="64"/>
        <v>0</v>
      </c>
      <c r="M185" s="34">
        <f t="shared" si="64"/>
        <v>0</v>
      </c>
      <c r="N185" s="34">
        <f t="shared" si="64"/>
        <v>0</v>
      </c>
      <c r="O185" s="34">
        <f t="shared" si="64"/>
        <v>0</v>
      </c>
      <c r="P185" s="34">
        <f t="shared" si="64"/>
        <v>0</v>
      </c>
      <c r="Q185" s="34">
        <f t="shared" si="64"/>
        <v>0</v>
      </c>
      <c r="R185" s="34">
        <f t="shared" si="64"/>
        <v>0</v>
      </c>
      <c r="S185" s="34">
        <f t="shared" si="64"/>
        <v>0</v>
      </c>
      <c r="T185" s="34">
        <f t="shared" si="64"/>
        <v>0</v>
      </c>
      <c r="U185" s="34">
        <f t="shared" si="64"/>
        <v>0</v>
      </c>
      <c r="V185" s="34">
        <f t="shared" si="63"/>
        <v>0</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0</v>
      </c>
      <c r="H192" s="34">
        <f t="shared" si="71"/>
        <v>0</v>
      </c>
      <c r="I192" s="34">
        <f t="shared" si="71"/>
        <v>0</v>
      </c>
      <c r="J192" s="34">
        <f t="shared" si="71"/>
        <v>0</v>
      </c>
      <c r="K192" s="34">
        <f t="shared" si="71"/>
        <v>0</v>
      </c>
      <c r="L192" s="34">
        <f t="shared" si="71"/>
        <v>0</v>
      </c>
      <c r="M192" s="34">
        <f t="shared" si="71"/>
        <v>0</v>
      </c>
      <c r="N192" s="34">
        <f t="shared" si="71"/>
        <v>0</v>
      </c>
      <c r="O192" s="34">
        <f t="shared" si="71"/>
        <v>0</v>
      </c>
      <c r="P192" s="34">
        <f t="shared" si="71"/>
        <v>0</v>
      </c>
      <c r="Q192" s="34">
        <f t="shared" si="71"/>
        <v>0</v>
      </c>
      <c r="R192" s="34">
        <f t="shared" si="71"/>
        <v>0</v>
      </c>
      <c r="S192" s="34">
        <f t="shared" si="71"/>
        <v>0</v>
      </c>
      <c r="T192" s="34">
        <f t="shared" si="71"/>
        <v>0</v>
      </c>
      <c r="U192" s="34">
        <f t="shared" si="71"/>
        <v>0</v>
      </c>
      <c r="V192" s="34">
        <f t="shared" si="63"/>
        <v>0</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398.88071999999994</v>
      </c>
      <c r="H195" s="34">
        <f t="shared" si="73"/>
        <v>2048.1953099999996</v>
      </c>
      <c r="I195" s="34">
        <f t="shared" si="73"/>
        <v>2801.731464</v>
      </c>
      <c r="J195" s="34">
        <f t="shared" si="73"/>
        <v>3214.37907</v>
      </c>
      <c r="K195" s="34">
        <f t="shared" si="73"/>
        <v>3424.5303749999998</v>
      </c>
      <c r="L195" s="34">
        <f t="shared" si="73"/>
        <v>3424.5303749999998</v>
      </c>
      <c r="M195" s="34">
        <f t="shared" si="73"/>
        <v>3433.9126499999998</v>
      </c>
      <c r="N195" s="34">
        <f t="shared" si="73"/>
        <v>3424.5303749999998</v>
      </c>
      <c r="O195" s="34">
        <f t="shared" si="73"/>
        <v>3424.5303749999998</v>
      </c>
      <c r="P195" s="34">
        <f t="shared" si="73"/>
        <v>3424.5303749999998</v>
      </c>
      <c r="Q195" s="34">
        <f t="shared" si="73"/>
        <v>0</v>
      </c>
      <c r="R195" s="34">
        <f t="shared" si="73"/>
        <v>0</v>
      </c>
      <c r="S195" s="34">
        <f t="shared" si="73"/>
        <v>0</v>
      </c>
      <c r="T195" s="34">
        <f t="shared" si="73"/>
        <v>0</v>
      </c>
      <c r="U195" s="34">
        <f t="shared" si="73"/>
        <v>0</v>
      </c>
      <c r="V195" s="34">
        <f>SUMPRODUCT($G$117:$U$117,G195:U195)</f>
        <v>29019.751088999994</v>
      </c>
    </row>
    <row r="196" spans="2:25">
      <c r="B196" s="27" t="s">
        <v>628</v>
      </c>
      <c r="C196" s="33" t="s">
        <v>646</v>
      </c>
      <c r="D196" s="33" t="s">
        <v>359</v>
      </c>
      <c r="E196" s="33" t="s">
        <v>129</v>
      </c>
      <c r="F196" s="33"/>
      <c r="G196" s="34">
        <f t="shared" ref="G196:U196" si="74">G129+G143+G157+G171+G185</f>
        <v>268.48979929145162</v>
      </c>
      <c r="H196" s="34">
        <f t="shared" si="74"/>
        <v>1379.5923683194976</v>
      </c>
      <c r="I196" s="34">
        <f t="shared" si="74"/>
        <v>1891.497666237482</v>
      </c>
      <c r="J196" s="34">
        <f t="shared" si="74"/>
        <v>2174.8531371314966</v>
      </c>
      <c r="K196" s="34">
        <f t="shared" si="74"/>
        <v>2319.1148857837461</v>
      </c>
      <c r="L196" s="34">
        <f t="shared" si="74"/>
        <v>2319.1148857837461</v>
      </c>
      <c r="M196" s="34">
        <f t="shared" si="74"/>
        <v>2325.4686251968524</v>
      </c>
      <c r="N196" s="34">
        <f t="shared" si="74"/>
        <v>2319.1148857837461</v>
      </c>
      <c r="O196" s="34">
        <f t="shared" si="74"/>
        <v>2319.1148857837461</v>
      </c>
      <c r="P196" s="34">
        <f t="shared" si="74"/>
        <v>2319.1148857837461</v>
      </c>
      <c r="Q196" s="34">
        <f t="shared" si="74"/>
        <v>0</v>
      </c>
      <c r="R196" s="34">
        <f t="shared" si="74"/>
        <v>0</v>
      </c>
      <c r="S196" s="34">
        <f t="shared" si="74"/>
        <v>0</v>
      </c>
      <c r="T196" s="34">
        <f t="shared" si="74"/>
        <v>0</v>
      </c>
      <c r="U196" s="34">
        <f t="shared" si="74"/>
        <v>0</v>
      </c>
      <c r="V196" s="34">
        <f>SUMPRODUCT($G$117:$U$117,G196:U196)</f>
        <v>19635.476025095511</v>
      </c>
    </row>
    <row r="197" spans="2:25">
      <c r="B197" s="27" t="s">
        <v>647</v>
      </c>
      <c r="C197" s="33" t="s">
        <v>648</v>
      </c>
      <c r="D197" s="33" t="s">
        <v>359</v>
      </c>
      <c r="E197" s="33" t="s">
        <v>133</v>
      </c>
      <c r="F197" s="33"/>
      <c r="G197" s="34">
        <f t="shared" ref="G197:U197" si="75">G196*(1-G$121)</f>
        <v>261.07948083100757</v>
      </c>
      <c r="H197" s="34">
        <f t="shared" si="75"/>
        <v>1341.5156189538795</v>
      </c>
      <c r="I197" s="34">
        <f t="shared" si="75"/>
        <v>1839.2923306493276</v>
      </c>
      <c r="J197" s="34">
        <f t="shared" si="75"/>
        <v>2114.8271905466672</v>
      </c>
      <c r="K197" s="34">
        <f t="shared" si="75"/>
        <v>2255.107314936115</v>
      </c>
      <c r="L197" s="34">
        <f t="shared" si="75"/>
        <v>2255.107314936115</v>
      </c>
      <c r="M197" s="34">
        <f t="shared" si="75"/>
        <v>2261.2856911414192</v>
      </c>
      <c r="N197" s="34">
        <f t="shared" si="75"/>
        <v>2255.107314936115</v>
      </c>
      <c r="O197" s="34">
        <f t="shared" si="75"/>
        <v>2255.107314936115</v>
      </c>
      <c r="P197" s="34">
        <f t="shared" si="75"/>
        <v>2255.107314936115</v>
      </c>
      <c r="Q197" s="34">
        <f t="shared" si="75"/>
        <v>0</v>
      </c>
      <c r="R197" s="34">
        <f t="shared" si="75"/>
        <v>0</v>
      </c>
      <c r="S197" s="34">
        <f t="shared" si="75"/>
        <v>0</v>
      </c>
      <c r="T197" s="34">
        <f t="shared" si="75"/>
        <v>0</v>
      </c>
      <c r="U197" s="34">
        <f t="shared" si="75"/>
        <v>0</v>
      </c>
      <c r="V197" s="34">
        <f>SUMPRODUCT($G$117:$U$117,G197:U197)</f>
        <v>19093.536886802875</v>
      </c>
    </row>
    <row r="198" spans="2:25">
      <c r="B198" s="27" t="s">
        <v>649</v>
      </c>
      <c r="C198" s="33" t="s">
        <v>650</v>
      </c>
      <c r="D198" s="33" t="s">
        <v>359</v>
      </c>
      <c r="E198" s="33" t="s">
        <v>137</v>
      </c>
      <c r="F198" s="33"/>
      <c r="G198" s="34">
        <f t="shared" ref="G198:U198" si="76">G196</f>
        <v>268.48979929145162</v>
      </c>
      <c r="H198" s="34">
        <f t="shared" si="76"/>
        <v>1379.5923683194976</v>
      </c>
      <c r="I198" s="34">
        <f t="shared" si="76"/>
        <v>1891.497666237482</v>
      </c>
      <c r="J198" s="34">
        <f t="shared" si="76"/>
        <v>2174.8531371314966</v>
      </c>
      <c r="K198" s="34">
        <f t="shared" si="76"/>
        <v>2319.1148857837461</v>
      </c>
      <c r="L198" s="34">
        <f t="shared" si="76"/>
        <v>2319.1148857837461</v>
      </c>
      <c r="M198" s="34">
        <f t="shared" si="76"/>
        <v>2325.4686251968524</v>
      </c>
      <c r="N198" s="34">
        <f t="shared" si="76"/>
        <v>2319.1148857837461</v>
      </c>
      <c r="O198" s="34">
        <f t="shared" si="76"/>
        <v>2319.1148857837461</v>
      </c>
      <c r="P198" s="34">
        <f t="shared" si="76"/>
        <v>2319.1148857837461</v>
      </c>
      <c r="Q198" s="34">
        <f t="shared" si="76"/>
        <v>0</v>
      </c>
      <c r="R198" s="34">
        <f t="shared" si="76"/>
        <v>0</v>
      </c>
      <c r="S198" s="34">
        <f t="shared" si="76"/>
        <v>0</v>
      </c>
      <c r="T198" s="34">
        <f t="shared" si="76"/>
        <v>0</v>
      </c>
      <c r="U198" s="34">
        <f t="shared" si="76"/>
        <v>0</v>
      </c>
      <c r="V198" s="34">
        <f>SUMPRODUCT($G$117:$U$117,G198:U198)</f>
        <v>19635.476025095511</v>
      </c>
    </row>
    <row r="199" spans="2:25">
      <c r="B199" s="27" t="s">
        <v>651</v>
      </c>
      <c r="C199" s="33" t="s">
        <v>652</v>
      </c>
      <c r="D199" s="33" t="s">
        <v>359</v>
      </c>
      <c r="E199" s="33" t="s">
        <v>140</v>
      </c>
      <c r="F199" s="33"/>
      <c r="G199" s="34">
        <f t="shared" ref="G199:U199" si="77">MIN(G197,G198)</f>
        <v>261.07948083100757</v>
      </c>
      <c r="H199" s="34">
        <f t="shared" si="77"/>
        <v>1341.5156189538795</v>
      </c>
      <c r="I199" s="34">
        <f t="shared" si="77"/>
        <v>1839.2923306493276</v>
      </c>
      <c r="J199" s="34">
        <f t="shared" si="77"/>
        <v>2114.8271905466672</v>
      </c>
      <c r="K199" s="34">
        <f t="shared" si="77"/>
        <v>2255.107314936115</v>
      </c>
      <c r="L199" s="34">
        <f t="shared" si="77"/>
        <v>2255.107314936115</v>
      </c>
      <c r="M199" s="34">
        <f t="shared" si="77"/>
        <v>2261.2856911414192</v>
      </c>
      <c r="N199" s="34">
        <f t="shared" si="77"/>
        <v>2255.107314936115</v>
      </c>
      <c r="O199" s="34">
        <f t="shared" si="77"/>
        <v>2255.107314936115</v>
      </c>
      <c r="P199" s="34">
        <f t="shared" si="77"/>
        <v>2255.107314936115</v>
      </c>
      <c r="Q199" s="34">
        <f t="shared" si="77"/>
        <v>0</v>
      </c>
      <c r="R199" s="34">
        <f t="shared" si="77"/>
        <v>0</v>
      </c>
      <c r="S199" s="34">
        <f t="shared" si="77"/>
        <v>0</v>
      </c>
      <c r="T199" s="34">
        <f t="shared" si="77"/>
        <v>0</v>
      </c>
      <c r="U199" s="34">
        <f t="shared" si="77"/>
        <v>0</v>
      </c>
      <c r="V199" s="34">
        <f>SUMPRODUCT($G$117:$U$117,G199:U199)</f>
        <v>19093.536886802875</v>
      </c>
    </row>
    <row r="200" spans="2:25">
      <c r="B200" s="27" t="s">
        <v>221</v>
      </c>
      <c r="C200" s="33" t="s">
        <v>653</v>
      </c>
      <c r="D200" s="33" t="s">
        <v>398</v>
      </c>
      <c r="E200" s="33" t="s">
        <v>220</v>
      </c>
      <c r="F200" s="33"/>
      <c r="G200" s="40">
        <v>0.93</v>
      </c>
      <c r="H200" s="40">
        <v>0.92</v>
      </c>
      <c r="I200" s="40">
        <v>0.92</v>
      </c>
      <c r="J200" s="40">
        <v>0.91</v>
      </c>
      <c r="K200" s="40">
        <v>0.91</v>
      </c>
      <c r="L200" s="40">
        <v>0.91</v>
      </c>
      <c r="M200" s="40">
        <v>0.91</v>
      </c>
      <c r="N200" s="40">
        <v>0.91</v>
      </c>
      <c r="O200" s="40">
        <v>0.91</v>
      </c>
      <c r="P200" s="40">
        <v>0.91</v>
      </c>
      <c r="Q200" s="40">
        <v>0.91</v>
      </c>
      <c r="R200" s="40">
        <v>0.91</v>
      </c>
      <c r="S200" s="40">
        <v>0.91</v>
      </c>
      <c r="T200" s="40">
        <v>0.91</v>
      </c>
      <c r="U200" s="40">
        <v>0.91</v>
      </c>
      <c r="V200" s="33"/>
      <c r="Y200" s="50" t="s">
        <v>654</v>
      </c>
    </row>
    <row r="201" spans="2:25" ht="21">
      <c r="B201" s="27" t="s">
        <v>225</v>
      </c>
      <c r="C201" s="33" t="s">
        <v>655</v>
      </c>
      <c r="D201" s="33" t="s">
        <v>398</v>
      </c>
      <c r="E201" s="33" t="s">
        <v>224</v>
      </c>
      <c r="F201" s="33"/>
      <c r="G201" s="40">
        <v>0.96</v>
      </c>
      <c r="H201" s="40">
        <v>0.95</v>
      </c>
      <c r="I201" s="40">
        <v>0.95</v>
      </c>
      <c r="J201" s="40">
        <v>0.95</v>
      </c>
      <c r="K201" s="40">
        <v>0.95</v>
      </c>
      <c r="L201" s="40">
        <v>0.95</v>
      </c>
      <c r="M201" s="40">
        <v>0.95</v>
      </c>
      <c r="N201" s="40">
        <v>0.95</v>
      </c>
      <c r="O201" s="40">
        <v>0.95</v>
      </c>
      <c r="P201" s="40">
        <v>0.95</v>
      </c>
      <c r="Q201" s="40">
        <v>0.95</v>
      </c>
      <c r="R201" s="40">
        <v>0.95</v>
      </c>
      <c r="S201" s="40">
        <v>0.95</v>
      </c>
      <c r="T201" s="40">
        <v>0.95</v>
      </c>
      <c r="U201" s="40">
        <v>0.95</v>
      </c>
      <c r="V201" s="33"/>
      <c r="Y201" s="50" t="s">
        <v>656</v>
      </c>
    </row>
    <row r="202" spans="2:25">
      <c r="B202" s="30" t="s">
        <v>657</v>
      </c>
      <c r="C202" s="33" t="s">
        <v>658</v>
      </c>
      <c r="D202" s="33" t="s">
        <v>359</v>
      </c>
      <c r="E202" s="33" t="s">
        <v>143</v>
      </c>
      <c r="F202" s="33"/>
      <c r="G202" s="31">
        <f t="shared" ref="G202:U202" si="78">G199*N(G200)*N(G201)</f>
        <v>233.09176048592357</v>
      </c>
      <c r="H202" s="31">
        <f t="shared" si="78"/>
        <v>1172.4846509656909</v>
      </c>
      <c r="I202" s="31">
        <f t="shared" si="78"/>
        <v>1607.5414969875123</v>
      </c>
      <c r="J202" s="31">
        <f t="shared" si="78"/>
        <v>1828.2681062275938</v>
      </c>
      <c r="K202" s="31">
        <f t="shared" si="78"/>
        <v>1949.5402737622715</v>
      </c>
      <c r="L202" s="31">
        <f t="shared" si="78"/>
        <v>1949.5402737622715</v>
      </c>
      <c r="M202" s="31">
        <f t="shared" si="78"/>
        <v>1954.8814799917568</v>
      </c>
      <c r="N202" s="31">
        <f t="shared" si="78"/>
        <v>1949.5402737622715</v>
      </c>
      <c r="O202" s="31">
        <f t="shared" si="78"/>
        <v>1949.5402737622715</v>
      </c>
      <c r="P202" s="31">
        <f t="shared" si="78"/>
        <v>1949.5402737622715</v>
      </c>
      <c r="Q202" s="31">
        <f t="shared" si="78"/>
        <v>0</v>
      </c>
      <c r="R202" s="31">
        <f t="shared" si="78"/>
        <v>0</v>
      </c>
      <c r="S202" s="31">
        <f t="shared" si="78"/>
        <v>0</v>
      </c>
      <c r="T202" s="31">
        <f t="shared" si="78"/>
        <v>0</v>
      </c>
      <c r="U202" s="31">
        <f t="shared" si="78"/>
        <v>0</v>
      </c>
      <c r="V202" s="31">
        <f>SUMPRODUCT($G$117:$U$117,G202:U202)</f>
        <v>16543.968863469836</v>
      </c>
    </row>
    <row r="203" spans="2:25" ht="22.5">
      <c r="B203" s="27" t="s">
        <v>659</v>
      </c>
      <c r="C203" s="33" t="s">
        <v>660</v>
      </c>
      <c r="D203" s="33" t="s">
        <v>359</v>
      </c>
      <c r="E203" s="33" t="s">
        <v>146</v>
      </c>
      <c r="F203" s="33"/>
      <c r="G203" s="34">
        <f t="shared" ref="G203:U203" si="79">G198-G199</f>
        <v>7.4103184604440457</v>
      </c>
      <c r="H203" s="34">
        <f t="shared" si="79"/>
        <v>38.07674936561807</v>
      </c>
      <c r="I203" s="34">
        <f t="shared" si="79"/>
        <v>52.205335588154412</v>
      </c>
      <c r="J203" s="34">
        <f t="shared" si="79"/>
        <v>60.025946584829398</v>
      </c>
      <c r="K203" s="34">
        <f t="shared" si="79"/>
        <v>64.007570847631087</v>
      </c>
      <c r="L203" s="34">
        <f t="shared" si="79"/>
        <v>64.007570847631087</v>
      </c>
      <c r="M203" s="34">
        <f t="shared" si="79"/>
        <v>64.182934055433179</v>
      </c>
      <c r="N203" s="34">
        <f t="shared" si="79"/>
        <v>64.007570847631087</v>
      </c>
      <c r="O203" s="34">
        <f t="shared" si="79"/>
        <v>64.007570847631087</v>
      </c>
      <c r="P203" s="34">
        <f t="shared" si="79"/>
        <v>64.007570847631087</v>
      </c>
      <c r="Q203" s="34">
        <f t="shared" si="79"/>
        <v>0</v>
      </c>
      <c r="R203" s="34">
        <f t="shared" si="79"/>
        <v>0</v>
      </c>
      <c r="S203" s="34">
        <f t="shared" si="79"/>
        <v>0</v>
      </c>
      <c r="T203" s="34">
        <f t="shared" si="79"/>
        <v>0</v>
      </c>
      <c r="U203" s="34">
        <f t="shared" si="79"/>
        <v>0</v>
      </c>
      <c r="V203" s="34">
        <f>SUMPRODUCT($G$117:$U$117,G203:U203)</f>
        <v>541.93913829263454</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60</v>
      </c>
      <c r="H206" s="68">
        <v>120</v>
      </c>
      <c r="I206" s="68">
        <v>120</v>
      </c>
      <c r="J206" s="68">
        <v>120</v>
      </c>
      <c r="K206" s="68">
        <v>120</v>
      </c>
      <c r="L206" s="68">
        <v>120</v>
      </c>
      <c r="M206" s="68">
        <v>120</v>
      </c>
      <c r="N206" s="68">
        <v>120</v>
      </c>
      <c r="O206" s="68">
        <v>120</v>
      </c>
      <c r="P206" s="68">
        <v>120</v>
      </c>
      <c r="Q206" s="68">
        <v>120</v>
      </c>
      <c r="R206" s="68">
        <v>120</v>
      </c>
      <c r="S206" s="68">
        <v>120</v>
      </c>
      <c r="T206" s="68">
        <v>120</v>
      </c>
      <c r="U206" s="68">
        <v>120</v>
      </c>
      <c r="V206" s="43">
        <f t="shared" ref="V206:V217" si="81">SUMPRODUCT($G$117:$U$117,G206:U206)</f>
        <v>1140</v>
      </c>
      <c r="Y206" s="50" t="s">
        <v>664</v>
      </c>
    </row>
    <row r="207" spans="2:25" ht="21">
      <c r="B207" s="27" t="s">
        <v>665</v>
      </c>
      <c r="C207" s="33" t="s">
        <v>666</v>
      </c>
      <c r="D207" s="33" t="s">
        <v>359</v>
      </c>
      <c r="E207" s="33" t="s">
        <v>667</v>
      </c>
      <c r="F207" s="33"/>
      <c r="G207" s="34">
        <f t="shared" ref="G207:U207" si="82">G$117*N(G206)*$F$47</f>
        <v>78</v>
      </c>
      <c r="H207" s="34">
        <f t="shared" si="82"/>
        <v>156</v>
      </c>
      <c r="I207" s="34">
        <f t="shared" si="82"/>
        <v>156</v>
      </c>
      <c r="J207" s="34">
        <f t="shared" si="82"/>
        <v>156</v>
      </c>
      <c r="K207" s="34">
        <f t="shared" si="82"/>
        <v>156</v>
      </c>
      <c r="L207" s="34">
        <f t="shared" si="82"/>
        <v>156</v>
      </c>
      <c r="M207" s="34">
        <f t="shared" si="82"/>
        <v>156</v>
      </c>
      <c r="N207" s="34">
        <f t="shared" si="82"/>
        <v>156</v>
      </c>
      <c r="O207" s="34">
        <f t="shared" si="82"/>
        <v>156</v>
      </c>
      <c r="P207" s="34">
        <f t="shared" si="82"/>
        <v>156</v>
      </c>
      <c r="Q207" s="34">
        <f t="shared" si="82"/>
        <v>0</v>
      </c>
      <c r="R207" s="34">
        <f t="shared" si="82"/>
        <v>0</v>
      </c>
      <c r="S207" s="34">
        <f t="shared" si="82"/>
        <v>0</v>
      </c>
      <c r="T207" s="34">
        <f t="shared" si="82"/>
        <v>0</v>
      </c>
      <c r="U207" s="34">
        <f t="shared" si="82"/>
        <v>0</v>
      </c>
      <c r="V207" s="34">
        <f t="shared" si="81"/>
        <v>1482</v>
      </c>
    </row>
    <row r="208" spans="2:25">
      <c r="B208" s="27" t="s">
        <v>668</v>
      </c>
      <c r="C208" s="33"/>
      <c r="D208" s="33" t="s">
        <v>669</v>
      </c>
      <c r="E208" s="33" t="s">
        <v>155</v>
      </c>
      <c r="F208" s="33"/>
      <c r="G208" s="63">
        <v>9000</v>
      </c>
      <c r="H208" s="63">
        <v>18000</v>
      </c>
      <c r="I208" s="63">
        <v>18000</v>
      </c>
      <c r="J208" s="63">
        <v>18000</v>
      </c>
      <c r="K208" s="63">
        <v>18000</v>
      </c>
      <c r="L208" s="63">
        <v>18000</v>
      </c>
      <c r="M208" s="63">
        <v>18000</v>
      </c>
      <c r="N208" s="63">
        <v>18000</v>
      </c>
      <c r="O208" s="63">
        <v>18000</v>
      </c>
      <c r="P208" s="63">
        <v>18000</v>
      </c>
      <c r="Q208" s="63">
        <v>18000</v>
      </c>
      <c r="R208" s="63">
        <v>18000</v>
      </c>
      <c r="S208" s="63">
        <v>18000</v>
      </c>
      <c r="T208" s="63">
        <v>18000</v>
      </c>
      <c r="U208" s="63">
        <v>18000</v>
      </c>
      <c r="V208" s="67">
        <f t="shared" si="81"/>
        <v>171000</v>
      </c>
    </row>
    <row r="209" spans="2:25">
      <c r="B209" s="27" t="s">
        <v>670</v>
      </c>
      <c r="C209" s="33" t="s">
        <v>671</v>
      </c>
      <c r="D209" s="33" t="s">
        <v>359</v>
      </c>
      <c r="E209" s="33" t="s">
        <v>672</v>
      </c>
      <c r="F209" s="33"/>
      <c r="G209" s="34">
        <f t="shared" ref="G209:U209" si="83">G$117*N(G208)*$F$49/1000</f>
        <v>24.631378199999997</v>
      </c>
      <c r="H209" s="34">
        <f t="shared" si="83"/>
        <v>49.262756399999994</v>
      </c>
      <c r="I209" s="34">
        <f t="shared" si="83"/>
        <v>49.262756399999994</v>
      </c>
      <c r="J209" s="34">
        <f t="shared" si="83"/>
        <v>49.262756399999994</v>
      </c>
      <c r="K209" s="34">
        <f t="shared" si="83"/>
        <v>49.262756399999994</v>
      </c>
      <c r="L209" s="34">
        <f t="shared" si="83"/>
        <v>49.262756399999994</v>
      </c>
      <c r="M209" s="34">
        <f t="shared" si="83"/>
        <v>49.262756399999994</v>
      </c>
      <c r="N209" s="34">
        <f t="shared" si="83"/>
        <v>49.262756399999994</v>
      </c>
      <c r="O209" s="34">
        <f t="shared" si="83"/>
        <v>49.262756399999994</v>
      </c>
      <c r="P209" s="34">
        <f t="shared" si="83"/>
        <v>49.262756399999994</v>
      </c>
      <c r="Q209" s="34">
        <f t="shared" si="83"/>
        <v>0</v>
      </c>
      <c r="R209" s="34">
        <f t="shared" si="83"/>
        <v>0</v>
      </c>
      <c r="S209" s="34">
        <f t="shared" si="83"/>
        <v>0</v>
      </c>
      <c r="T209" s="34">
        <f t="shared" si="83"/>
        <v>0</v>
      </c>
      <c r="U209" s="34">
        <f t="shared" si="83"/>
        <v>0</v>
      </c>
      <c r="V209" s="34">
        <f t="shared" si="81"/>
        <v>467.99618579999998</v>
      </c>
    </row>
    <row r="210" spans="2:25">
      <c r="B210" s="27" t="s">
        <v>673</v>
      </c>
      <c r="C210" s="33" t="s">
        <v>674</v>
      </c>
      <c r="D210" s="33" t="s">
        <v>359</v>
      </c>
      <c r="E210" s="33" t="s">
        <v>153</v>
      </c>
      <c r="F210" s="33"/>
      <c r="G210" s="34">
        <f t="shared" ref="G210:U210" si="84">G207+G209</f>
        <v>102.6313782</v>
      </c>
      <c r="H210" s="34">
        <f t="shared" si="84"/>
        <v>205.2627564</v>
      </c>
      <c r="I210" s="34">
        <f t="shared" si="84"/>
        <v>205.2627564</v>
      </c>
      <c r="J210" s="34">
        <f t="shared" si="84"/>
        <v>205.2627564</v>
      </c>
      <c r="K210" s="34">
        <f t="shared" si="84"/>
        <v>205.2627564</v>
      </c>
      <c r="L210" s="34">
        <f t="shared" si="84"/>
        <v>205.2627564</v>
      </c>
      <c r="M210" s="34">
        <f t="shared" si="84"/>
        <v>205.2627564</v>
      </c>
      <c r="N210" s="34">
        <f t="shared" si="84"/>
        <v>205.2627564</v>
      </c>
      <c r="O210" s="34">
        <f t="shared" si="84"/>
        <v>205.2627564</v>
      </c>
      <c r="P210" s="34">
        <f t="shared" si="84"/>
        <v>205.2627564</v>
      </c>
      <c r="Q210" s="34">
        <f t="shared" si="84"/>
        <v>0</v>
      </c>
      <c r="R210" s="34">
        <f t="shared" si="84"/>
        <v>0</v>
      </c>
      <c r="S210" s="34">
        <f t="shared" si="84"/>
        <v>0</v>
      </c>
      <c r="T210" s="34">
        <f t="shared" si="84"/>
        <v>0</v>
      </c>
      <c r="U210" s="34">
        <f t="shared" si="84"/>
        <v>0</v>
      </c>
      <c r="V210" s="34">
        <f t="shared" si="81"/>
        <v>1949.9961857999997</v>
      </c>
    </row>
    <row r="211" spans="2:25">
      <c r="B211" s="27" t="s">
        <v>675</v>
      </c>
      <c r="C211" s="33"/>
      <c r="D211" s="33" t="s">
        <v>669</v>
      </c>
      <c r="E211" s="33" t="s">
        <v>456</v>
      </c>
      <c r="F211" s="33"/>
      <c r="G211" s="63">
        <v>0</v>
      </c>
      <c r="H211" s="63">
        <v>0</v>
      </c>
      <c r="I211" s="63">
        <v>0</v>
      </c>
      <c r="J211" s="63">
        <v>0</v>
      </c>
      <c r="K211" s="63">
        <v>0</v>
      </c>
      <c r="L211" s="63">
        <v>0</v>
      </c>
      <c r="M211" s="63">
        <v>0</v>
      </c>
      <c r="N211" s="63">
        <v>0</v>
      </c>
      <c r="O211" s="63">
        <v>0</v>
      </c>
      <c r="P211" s="63">
        <v>0</v>
      </c>
      <c r="Q211" s="63">
        <v>0</v>
      </c>
      <c r="R211" s="63">
        <v>0</v>
      </c>
      <c r="S211" s="63">
        <v>0</v>
      </c>
      <c r="T211" s="63">
        <v>0</v>
      </c>
      <c r="U211" s="63">
        <v>0</v>
      </c>
      <c r="V211" s="67">
        <f t="shared" si="81"/>
        <v>0</v>
      </c>
    </row>
    <row r="212" spans="2:25" ht="21">
      <c r="B212" s="27" t="s">
        <v>676</v>
      </c>
      <c r="C212" s="33" t="s">
        <v>677</v>
      </c>
      <c r="D212" s="33" t="s">
        <v>359</v>
      </c>
      <c r="E212" s="33" t="s">
        <v>678</v>
      </c>
      <c r="F212" s="33"/>
      <c r="G212" s="34">
        <f t="shared" ref="G212:U212" si="85">IF($F$50="Manual, or electric on 100% RE",0,G$117*N(G211)*$F$52/1000)</f>
        <v>0</v>
      </c>
      <c r="H212" s="34">
        <f t="shared" si="85"/>
        <v>0</v>
      </c>
      <c r="I212" s="34">
        <f t="shared" si="85"/>
        <v>0</v>
      </c>
      <c r="J212" s="34">
        <f t="shared" si="85"/>
        <v>0</v>
      </c>
      <c r="K212" s="34">
        <f t="shared" si="85"/>
        <v>0</v>
      </c>
      <c r="L212" s="34">
        <f t="shared" si="85"/>
        <v>0</v>
      </c>
      <c r="M212" s="34">
        <f t="shared" si="85"/>
        <v>0</v>
      </c>
      <c r="N212" s="34">
        <f t="shared" si="85"/>
        <v>0</v>
      </c>
      <c r="O212" s="34">
        <f t="shared" si="85"/>
        <v>0</v>
      </c>
      <c r="P212" s="34">
        <f t="shared" si="85"/>
        <v>0</v>
      </c>
      <c r="Q212" s="34">
        <f t="shared" si="85"/>
        <v>0</v>
      </c>
      <c r="R212" s="34">
        <f t="shared" si="85"/>
        <v>0</v>
      </c>
      <c r="S212" s="34">
        <f t="shared" si="85"/>
        <v>0</v>
      </c>
      <c r="T212" s="34">
        <f t="shared" si="85"/>
        <v>0</v>
      </c>
      <c r="U212" s="34">
        <f t="shared" si="85"/>
        <v>0</v>
      </c>
      <c r="V212" s="34">
        <f t="shared" si="81"/>
        <v>0</v>
      </c>
    </row>
    <row r="213" spans="2:25" ht="31.5">
      <c r="B213" s="27" t="s">
        <v>679</v>
      </c>
      <c r="C213" s="33" t="s">
        <v>680</v>
      </c>
      <c r="D213" s="33" t="s">
        <v>359</v>
      </c>
      <c r="E213" s="33" t="s">
        <v>681</v>
      </c>
      <c r="F213" s="33"/>
      <c r="G213" s="69">
        <v>35.1</v>
      </c>
      <c r="H213" s="69">
        <v>178.9</v>
      </c>
      <c r="I213" s="69">
        <v>237.6</v>
      </c>
      <c r="J213" s="69">
        <v>264.89999999999998</v>
      </c>
      <c r="K213" s="69">
        <v>278.8</v>
      </c>
      <c r="L213" s="69">
        <v>278.8</v>
      </c>
      <c r="M213" s="69">
        <v>279.60000000000002</v>
      </c>
      <c r="N213" s="69">
        <v>278.8</v>
      </c>
      <c r="O213" s="69">
        <v>278.8</v>
      </c>
      <c r="P213" s="69">
        <v>278.8</v>
      </c>
      <c r="Q213" s="69">
        <v>279.60000000000002</v>
      </c>
      <c r="R213" s="69">
        <v>278.8</v>
      </c>
      <c r="S213" s="69">
        <v>278.8</v>
      </c>
      <c r="T213" s="69">
        <v>278.8</v>
      </c>
      <c r="U213" s="69">
        <v>279.60000000000002</v>
      </c>
      <c r="V213" s="34">
        <f t="shared" si="81"/>
        <v>2390.1</v>
      </c>
      <c r="Y213" s="50" t="s">
        <v>682</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0</v>
      </c>
      <c r="H215" s="34">
        <f t="shared" si="86"/>
        <v>0</v>
      </c>
      <c r="I215" s="34">
        <f t="shared" si="86"/>
        <v>0</v>
      </c>
      <c r="J215" s="34">
        <f t="shared" si="86"/>
        <v>0</v>
      </c>
      <c r="K215" s="34">
        <f t="shared" si="86"/>
        <v>0</v>
      </c>
      <c r="L215" s="34">
        <f t="shared" si="86"/>
        <v>0</v>
      </c>
      <c r="M215" s="34">
        <f t="shared" si="86"/>
        <v>0</v>
      </c>
      <c r="N215" s="34">
        <f t="shared" si="86"/>
        <v>0</v>
      </c>
      <c r="O215" s="34">
        <f t="shared" si="86"/>
        <v>0</v>
      </c>
      <c r="P215" s="34">
        <f t="shared" si="86"/>
        <v>0</v>
      </c>
      <c r="Q215" s="34">
        <f t="shared" si="86"/>
        <v>0</v>
      </c>
      <c r="R215" s="34">
        <f t="shared" si="86"/>
        <v>0</v>
      </c>
      <c r="S215" s="34">
        <f t="shared" si="86"/>
        <v>0</v>
      </c>
      <c r="T215" s="34">
        <f t="shared" si="86"/>
        <v>0</v>
      </c>
      <c r="U215" s="34">
        <f t="shared" si="86"/>
        <v>0</v>
      </c>
      <c r="V215" s="34">
        <f t="shared" si="81"/>
        <v>0</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0</v>
      </c>
      <c r="H216" s="34">
        <f t="shared" si="87"/>
        <v>0</v>
      </c>
      <c r="I216" s="34">
        <f t="shared" si="87"/>
        <v>0</v>
      </c>
      <c r="J216" s="34">
        <f t="shared" si="87"/>
        <v>0</v>
      </c>
      <c r="K216" s="34">
        <f t="shared" si="87"/>
        <v>0</v>
      </c>
      <c r="L216" s="34">
        <f t="shared" si="87"/>
        <v>0</v>
      </c>
      <c r="M216" s="34">
        <f t="shared" si="87"/>
        <v>0</v>
      </c>
      <c r="N216" s="34">
        <f t="shared" si="87"/>
        <v>0</v>
      </c>
      <c r="O216" s="34">
        <f t="shared" si="87"/>
        <v>0</v>
      </c>
      <c r="P216" s="34">
        <f t="shared" si="87"/>
        <v>0</v>
      </c>
      <c r="Q216" s="34">
        <f t="shared" si="87"/>
        <v>0</v>
      </c>
      <c r="R216" s="34">
        <f t="shared" si="87"/>
        <v>0</v>
      </c>
      <c r="S216" s="34">
        <f t="shared" si="87"/>
        <v>0</v>
      </c>
      <c r="T216" s="34">
        <f t="shared" si="87"/>
        <v>0</v>
      </c>
      <c r="U216" s="34">
        <f t="shared" si="87"/>
        <v>0</v>
      </c>
      <c r="V216" s="34">
        <f t="shared" si="81"/>
        <v>0</v>
      </c>
    </row>
    <row r="217" spans="2:25">
      <c r="B217" s="27" t="s">
        <v>692</v>
      </c>
      <c r="C217" s="33"/>
      <c r="D217" s="33" t="s">
        <v>693</v>
      </c>
      <c r="E217" s="33" t="s">
        <v>257</v>
      </c>
      <c r="F217" s="33"/>
      <c r="G217" s="63">
        <v>0</v>
      </c>
      <c r="H217" s="63">
        <v>0</v>
      </c>
      <c r="I217" s="63">
        <v>0</v>
      </c>
      <c r="J217" s="63">
        <v>0</v>
      </c>
      <c r="K217" s="63">
        <v>0</v>
      </c>
      <c r="L217" s="63">
        <v>0</v>
      </c>
      <c r="M217" s="63">
        <v>0</v>
      </c>
      <c r="N217" s="63">
        <v>0</v>
      </c>
      <c r="O217" s="63">
        <v>0</v>
      </c>
      <c r="P217" s="63">
        <v>0</v>
      </c>
      <c r="Q217" s="63">
        <v>0</v>
      </c>
      <c r="R217" s="63">
        <v>0</v>
      </c>
      <c r="S217" s="63">
        <v>0</v>
      </c>
      <c r="T217" s="63">
        <v>0</v>
      </c>
      <c r="U217" s="63">
        <v>0</v>
      </c>
      <c r="V217" s="67">
        <f t="shared" si="81"/>
        <v>0</v>
      </c>
      <c r="Y217" s="50" t="s">
        <v>694</v>
      </c>
    </row>
    <row r="218" spans="2:25" ht="22.5">
      <c r="B218" s="27" t="s">
        <v>695</v>
      </c>
      <c r="C218" s="33"/>
      <c r="D218" s="33" t="s">
        <v>696</v>
      </c>
      <c r="E218" s="33" t="s">
        <v>257</v>
      </c>
      <c r="F218" s="33"/>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33"/>
    </row>
    <row r="219" spans="2:25">
      <c r="B219" s="27" t="s">
        <v>697</v>
      </c>
      <c r="C219" s="33"/>
      <c r="D219" s="33" t="s">
        <v>359</v>
      </c>
      <c r="E219" s="33" t="s">
        <v>156</v>
      </c>
      <c r="F219" s="33"/>
      <c r="G219" s="34">
        <f t="shared" ref="G219:U219" si="88">G$117*N(G217)*N(G218)*$F$25*$F$55*$F$30/1000</f>
        <v>0</v>
      </c>
      <c r="H219" s="34">
        <f t="shared" si="88"/>
        <v>0</v>
      </c>
      <c r="I219" s="34">
        <f t="shared" si="88"/>
        <v>0</v>
      </c>
      <c r="J219" s="34">
        <f t="shared" si="88"/>
        <v>0</v>
      </c>
      <c r="K219" s="34">
        <f t="shared" si="88"/>
        <v>0</v>
      </c>
      <c r="L219" s="34">
        <f t="shared" si="88"/>
        <v>0</v>
      </c>
      <c r="M219" s="34">
        <f t="shared" si="88"/>
        <v>0</v>
      </c>
      <c r="N219" s="34">
        <f t="shared" si="88"/>
        <v>0</v>
      </c>
      <c r="O219" s="34">
        <f t="shared" si="88"/>
        <v>0</v>
      </c>
      <c r="P219" s="34">
        <f t="shared" si="88"/>
        <v>0</v>
      </c>
      <c r="Q219" s="34">
        <f t="shared" si="88"/>
        <v>0</v>
      </c>
      <c r="R219" s="34">
        <f t="shared" si="88"/>
        <v>0</v>
      </c>
      <c r="S219" s="34">
        <f t="shared" si="88"/>
        <v>0</v>
      </c>
      <c r="T219" s="34">
        <f t="shared" si="88"/>
        <v>0</v>
      </c>
      <c r="U219" s="34">
        <f t="shared" si="88"/>
        <v>0</v>
      </c>
      <c r="V219" s="34">
        <f>SUMPRODUCT($G$117:$U$117,G219:U219)</f>
        <v>0</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0</v>
      </c>
      <c r="H221" s="34">
        <f t="shared" si="89"/>
        <v>0</v>
      </c>
      <c r="I221" s="34">
        <f t="shared" si="89"/>
        <v>0</v>
      </c>
      <c r="J221" s="34">
        <f t="shared" si="89"/>
        <v>0</v>
      </c>
      <c r="K221" s="34">
        <f t="shared" si="89"/>
        <v>0</v>
      </c>
      <c r="L221" s="34">
        <f t="shared" si="89"/>
        <v>0</v>
      </c>
      <c r="M221" s="34">
        <f t="shared" si="89"/>
        <v>0</v>
      </c>
      <c r="N221" s="34">
        <f t="shared" si="89"/>
        <v>0</v>
      </c>
      <c r="O221" s="34">
        <f t="shared" si="89"/>
        <v>0</v>
      </c>
      <c r="P221" s="34">
        <f t="shared" si="89"/>
        <v>0</v>
      </c>
      <c r="Q221" s="34">
        <f t="shared" si="89"/>
        <v>0</v>
      </c>
      <c r="R221" s="34">
        <f t="shared" si="89"/>
        <v>0</v>
      </c>
      <c r="S221" s="34">
        <f t="shared" si="89"/>
        <v>0</v>
      </c>
      <c r="T221" s="34">
        <f t="shared" si="89"/>
        <v>0</v>
      </c>
      <c r="U221" s="34">
        <f t="shared" si="89"/>
        <v>0</v>
      </c>
      <c r="V221" s="34">
        <f>SUMPRODUCT($G$117:$U$117,G221:U221)</f>
        <v>0</v>
      </c>
    </row>
    <row r="222" spans="2:25">
      <c r="B222" s="30" t="s">
        <v>701</v>
      </c>
      <c r="C222" s="33" t="s">
        <v>702</v>
      </c>
      <c r="D222" s="33" t="s">
        <v>359</v>
      </c>
      <c r="E222" s="33" t="s">
        <v>149</v>
      </c>
      <c r="F222" s="33"/>
      <c r="G222" s="31">
        <f t="shared" ref="G222:U222" si="90">G210+G212+G$117*(N(G213)+N(G214))+G215+G216+G221</f>
        <v>137.73137819999999</v>
      </c>
      <c r="H222" s="31">
        <f t="shared" si="90"/>
        <v>384.16275640000003</v>
      </c>
      <c r="I222" s="31">
        <f t="shared" si="90"/>
        <v>442.86275639999997</v>
      </c>
      <c r="J222" s="31">
        <f t="shared" si="90"/>
        <v>470.16275639999998</v>
      </c>
      <c r="K222" s="31">
        <f t="shared" si="90"/>
        <v>484.06275640000001</v>
      </c>
      <c r="L222" s="31">
        <f t="shared" si="90"/>
        <v>484.06275640000001</v>
      </c>
      <c r="M222" s="31">
        <f t="shared" si="90"/>
        <v>484.86275640000002</v>
      </c>
      <c r="N222" s="31">
        <f t="shared" si="90"/>
        <v>484.06275640000001</v>
      </c>
      <c r="O222" s="31">
        <f t="shared" si="90"/>
        <v>484.06275640000001</v>
      </c>
      <c r="P222" s="31">
        <f t="shared" si="90"/>
        <v>484.06275640000001</v>
      </c>
      <c r="Q222" s="31">
        <f t="shared" si="90"/>
        <v>0</v>
      </c>
      <c r="R222" s="31">
        <f t="shared" si="90"/>
        <v>0</v>
      </c>
      <c r="S222" s="31">
        <f t="shared" si="90"/>
        <v>0</v>
      </c>
      <c r="T222" s="31">
        <f t="shared" si="90"/>
        <v>0</v>
      </c>
      <c r="U222" s="31">
        <f t="shared" si="90"/>
        <v>0</v>
      </c>
      <c r="V222" s="31">
        <f>SUMPRODUCT($G$117:$U$117,G222:U222)</f>
        <v>4340.0961858000001</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CBS containers, batch 1</v>
      </c>
      <c r="C225" s="33" t="str">
        <f>IF($G$101="","",$G$101)</f>
        <v>Tier 1</v>
      </c>
      <c r="D225" s="33" t="s">
        <v>359</v>
      </c>
      <c r="E225" s="33" t="s">
        <v>174</v>
      </c>
      <c r="F225" s="33"/>
      <c r="G225" s="34">
        <f t="shared" ref="G225:U225" si="92">IF(OR(G$117=0,$G$101="",N($G$107)=0),0,IF($G$101="Tier 1",IF(AND(G$114&gt;=$G$108,IF(N($G$109)&gt;0,MOD(G$114-$G$108,$G$109)=0,G$114=$G$108)),$G$107,0),$G$107/($G$110*365)*MAX(0,MIN(G$119+1,$G$111+$G$110*365)-MAX(G$118,$G$111))))</f>
        <v>150</v>
      </c>
      <c r="H225" s="34">
        <f t="shared" si="92"/>
        <v>0</v>
      </c>
      <c r="I225" s="34">
        <f t="shared" si="92"/>
        <v>0</v>
      </c>
      <c r="J225" s="34">
        <f t="shared" si="92"/>
        <v>150</v>
      </c>
      <c r="K225" s="34">
        <f t="shared" si="92"/>
        <v>0</v>
      </c>
      <c r="L225" s="34">
        <f t="shared" si="92"/>
        <v>0</v>
      </c>
      <c r="M225" s="34">
        <f t="shared" si="92"/>
        <v>150</v>
      </c>
      <c r="N225" s="34">
        <f t="shared" si="92"/>
        <v>0</v>
      </c>
      <c r="O225" s="34">
        <f t="shared" si="92"/>
        <v>0</v>
      </c>
      <c r="P225" s="34">
        <f t="shared" si="92"/>
        <v>150</v>
      </c>
      <c r="Q225" s="34">
        <f t="shared" si="92"/>
        <v>0</v>
      </c>
      <c r="R225" s="34">
        <f t="shared" si="92"/>
        <v>0</v>
      </c>
      <c r="S225" s="34">
        <f t="shared" si="92"/>
        <v>0</v>
      </c>
      <c r="T225" s="34">
        <f t="shared" si="92"/>
        <v>0</v>
      </c>
      <c r="U225" s="34">
        <f t="shared" si="92"/>
        <v>0</v>
      </c>
      <c r="V225" s="34">
        <f t="shared" ref="V225:V240" si="93">SUMPRODUCT($G$117:$U$117,G225:U225)</f>
        <v>600</v>
      </c>
      <c r="W225" s="34">
        <f t="shared" ref="W225:W232" si="94">IF($F$44&gt;0,SUMPRODUCT(($G$114:$U$114&lt;=$F$44)*(G225:U225)),0)</f>
        <v>0</v>
      </c>
      <c r="X225" s="34">
        <f>IF(AND($F$44&gt;0,$G$101&lt;&gt;"",$G$101&lt;&gt;"Tier 1",N($G$108)&lt;=$F$44),$G$107-W225,0)</f>
        <v>0</v>
      </c>
    </row>
    <row r="226" spans="2:25">
      <c r="B226" s="27" t="str">
        <f>"Item 2: "&amp;IF($H$100="","not used",$H$100)</f>
        <v>Item 2: CBS containers, batch 2</v>
      </c>
      <c r="C226" s="33" t="str">
        <f>IF($H$101="","",$H$101)</f>
        <v>Tier 1</v>
      </c>
      <c r="D226" s="33" t="s">
        <v>359</v>
      </c>
      <c r="E226" s="33" t="s">
        <v>174</v>
      </c>
      <c r="F226" s="33"/>
      <c r="G226" s="34">
        <f t="shared" ref="G226:U226" si="95">IF(OR(G$117=0,$H$101="",N($H$107)=0),0,IF($H$101="Tier 1",IF(AND(G$114&gt;=$H$108,IF(N($H$109)&gt;0,MOD(G$114-$H$108,$H$109)=0,G$114=$H$108)),$H$107,0),$H$107/($H$110*365)*MAX(0,MIN(G$119+1,$H$111+$H$110*365)-MAX(G$118,$H$111))))</f>
        <v>0</v>
      </c>
      <c r="H226" s="34">
        <f t="shared" si="95"/>
        <v>262.5</v>
      </c>
      <c r="I226" s="34">
        <f t="shared" si="95"/>
        <v>0</v>
      </c>
      <c r="J226" s="34">
        <f t="shared" si="95"/>
        <v>0</v>
      </c>
      <c r="K226" s="34">
        <f t="shared" si="95"/>
        <v>262.5</v>
      </c>
      <c r="L226" s="34">
        <f t="shared" si="95"/>
        <v>0</v>
      </c>
      <c r="M226" s="34">
        <f t="shared" si="95"/>
        <v>0</v>
      </c>
      <c r="N226" s="34">
        <f t="shared" si="95"/>
        <v>262.5</v>
      </c>
      <c r="O226" s="34">
        <f t="shared" si="95"/>
        <v>0</v>
      </c>
      <c r="P226" s="34">
        <f t="shared" si="95"/>
        <v>0</v>
      </c>
      <c r="Q226" s="34">
        <f t="shared" si="95"/>
        <v>0</v>
      </c>
      <c r="R226" s="34">
        <f t="shared" si="95"/>
        <v>0</v>
      </c>
      <c r="S226" s="34">
        <f t="shared" si="95"/>
        <v>0</v>
      </c>
      <c r="T226" s="34">
        <f t="shared" si="95"/>
        <v>0</v>
      </c>
      <c r="U226" s="34">
        <f t="shared" si="95"/>
        <v>0</v>
      </c>
      <c r="V226" s="34">
        <f t="shared" si="93"/>
        <v>787.5</v>
      </c>
      <c r="W226" s="34">
        <f t="shared" si="94"/>
        <v>0</v>
      </c>
      <c r="X226" s="34">
        <f>IF(AND($F$44&gt;0,$H$101&lt;&gt;"",$H$101&lt;&gt;"Tier 1",N($H$108)&lt;=$F$44),$H$107-W226,0)</f>
        <v>0</v>
      </c>
    </row>
    <row r="227" spans="2:25">
      <c r="B227" s="27" t="str">
        <f>"Item 3: "&amp;IF($I$100="","not used",$I$100)</f>
        <v>Item 3: CBS containers, batch 3</v>
      </c>
      <c r="C227" s="33" t="str">
        <f>IF($I$101="","",$I$101)</f>
        <v>Tier 1</v>
      </c>
      <c r="D227" s="33" t="s">
        <v>359</v>
      </c>
      <c r="E227" s="33" t="s">
        <v>174</v>
      </c>
      <c r="F227" s="33"/>
      <c r="G227" s="34">
        <f t="shared" ref="G227:U227" si="96">IF(OR(G$117=0,$I$101="",N($I$107)=0),0,IF($I$101="Tier 1",IF(AND(G$114&gt;=$I$108,IF(N($I$109)&gt;0,MOD(G$114-$I$108,$I$109)=0,G$114=$I$108)),$I$107,0),$I$107/($I$110*365)*MAX(0,MIN(G$119+1,$I$111+$I$110*365)-MAX(G$118,$I$111))))</f>
        <v>0</v>
      </c>
      <c r="H227" s="34">
        <f t="shared" si="96"/>
        <v>0</v>
      </c>
      <c r="I227" s="34">
        <f t="shared" si="96"/>
        <v>150</v>
      </c>
      <c r="J227" s="34">
        <f t="shared" si="96"/>
        <v>0</v>
      </c>
      <c r="K227" s="34">
        <f t="shared" si="96"/>
        <v>0</v>
      </c>
      <c r="L227" s="34">
        <f t="shared" si="96"/>
        <v>150</v>
      </c>
      <c r="M227" s="34">
        <f t="shared" si="96"/>
        <v>0</v>
      </c>
      <c r="N227" s="34">
        <f t="shared" si="96"/>
        <v>0</v>
      </c>
      <c r="O227" s="34">
        <f t="shared" si="96"/>
        <v>150</v>
      </c>
      <c r="P227" s="34">
        <f t="shared" si="96"/>
        <v>0</v>
      </c>
      <c r="Q227" s="34">
        <f t="shared" si="96"/>
        <v>0</v>
      </c>
      <c r="R227" s="34">
        <f t="shared" si="96"/>
        <v>0</v>
      </c>
      <c r="S227" s="34">
        <f t="shared" si="96"/>
        <v>0</v>
      </c>
      <c r="T227" s="34">
        <f t="shared" si="96"/>
        <v>0</v>
      </c>
      <c r="U227" s="34">
        <f t="shared" si="96"/>
        <v>0</v>
      </c>
      <c r="V227" s="34">
        <f t="shared" si="93"/>
        <v>450</v>
      </c>
      <c r="W227" s="34">
        <f t="shared" si="94"/>
        <v>0</v>
      </c>
      <c r="X227" s="34">
        <f>IF(AND($F$44&gt;0,$I$101&lt;&gt;"",$I$101&lt;&gt;"Tier 1",N($I$108)&lt;=$F$44),$I$107-W227,0)</f>
        <v>0</v>
      </c>
    </row>
    <row r="228" spans="2:25">
      <c r="B228" s="27" t="str">
        <f>"Item 4: "&amp;IF($J$100="","not used",$J$100)</f>
        <v>Item 4: CBS containers, batch 4</v>
      </c>
      <c r="C228" s="33" t="str">
        <f>IF($J$101="","",$J$101)</f>
        <v>Tier 1</v>
      </c>
      <c r="D228" s="33" t="s">
        <v>359</v>
      </c>
      <c r="E228" s="33" t="s">
        <v>174</v>
      </c>
      <c r="F228" s="33"/>
      <c r="G228" s="34">
        <f t="shared" ref="G228:U228" si="97">IF(OR(G$117=0,$J$101="",N($J$107)=0),0,IF($J$101="Tier 1",IF(AND(G$114&gt;=$J$108,IF(N($J$109)&gt;0,MOD(G$114-$J$108,$J$109)=0,G$114=$J$108)),$J$107,0),$J$107/($J$110*365)*MAX(0,MIN(G$119+1,$J$111+$J$110*365)-MAX(G$118,$J$111))))</f>
        <v>0</v>
      </c>
      <c r="H228" s="34">
        <f t="shared" si="97"/>
        <v>0</v>
      </c>
      <c r="I228" s="34">
        <f t="shared" si="97"/>
        <v>0</v>
      </c>
      <c r="J228" s="34">
        <f t="shared" si="97"/>
        <v>37.5</v>
      </c>
      <c r="K228" s="34">
        <f t="shared" si="97"/>
        <v>0</v>
      </c>
      <c r="L228" s="34">
        <f t="shared" si="97"/>
        <v>0</v>
      </c>
      <c r="M228" s="34">
        <f t="shared" si="97"/>
        <v>37.5</v>
      </c>
      <c r="N228" s="34">
        <f t="shared" si="97"/>
        <v>0</v>
      </c>
      <c r="O228" s="34">
        <f t="shared" si="97"/>
        <v>0</v>
      </c>
      <c r="P228" s="34">
        <f t="shared" si="97"/>
        <v>37.5</v>
      </c>
      <c r="Q228" s="34">
        <f t="shared" si="97"/>
        <v>0</v>
      </c>
      <c r="R228" s="34">
        <f t="shared" si="97"/>
        <v>0</v>
      </c>
      <c r="S228" s="34">
        <f t="shared" si="97"/>
        <v>0</v>
      </c>
      <c r="T228" s="34">
        <f t="shared" si="97"/>
        <v>0</v>
      </c>
      <c r="U228" s="34">
        <f t="shared" si="97"/>
        <v>0</v>
      </c>
      <c r="V228" s="34">
        <f t="shared" si="93"/>
        <v>112.5</v>
      </c>
      <c r="W228" s="34">
        <f t="shared" si="94"/>
        <v>0</v>
      </c>
      <c r="X228" s="34">
        <f>IF(AND($F$44&gt;0,$J$101&lt;&gt;"",$J$101&lt;&gt;"Tier 1",N($J$108)&lt;=$F$44),$J$107-W228,0)</f>
        <v>0</v>
      </c>
    </row>
    <row r="229" spans="2:25">
      <c r="B229" s="27" t="str">
        <f>"Item 5: "&amp;IF($K$100="","not used",$K$100)</f>
        <v>Item 5: Transfer kiosks (blockwork)</v>
      </c>
      <c r="C229" s="33" t="str">
        <f>IF($K$101="","",$K$101)</f>
        <v>Tier 2</v>
      </c>
      <c r="D229" s="33" t="s">
        <v>359</v>
      </c>
      <c r="E229" s="33" t="s">
        <v>174</v>
      </c>
      <c r="F229" s="33"/>
      <c r="G229" s="34">
        <f t="shared" ref="G229:U229" si="98">IF(OR(G$117=0,$K$101="",N($K$107)=0),0,IF($K$101="Tier 1",IF(AND(G$114&gt;=$K$108,IF(N($K$109)&gt;0,MOD(G$114-$K$108,$K$109)=0,G$114=$K$108)),$K$107,0),$K$107/($K$110*365)*MAX(0,MIN(G$119+1,$K$111+$K$110*365)-MAX(G$118,$K$111))))</f>
        <v>2.3592328767123285</v>
      </c>
      <c r="H229" s="34">
        <f t="shared" si="98"/>
        <v>4.68</v>
      </c>
      <c r="I229" s="34">
        <f t="shared" si="98"/>
        <v>4.6928219178082191</v>
      </c>
      <c r="J229" s="34">
        <f t="shared" si="98"/>
        <v>4.68</v>
      </c>
      <c r="K229" s="34">
        <f t="shared" si="98"/>
        <v>4.68</v>
      </c>
      <c r="L229" s="34">
        <f t="shared" si="98"/>
        <v>2.3079452054794518</v>
      </c>
      <c r="M229" s="34">
        <f t="shared" si="98"/>
        <v>0</v>
      </c>
      <c r="N229" s="34">
        <f t="shared" si="98"/>
        <v>0</v>
      </c>
      <c r="O229" s="34">
        <f t="shared" si="98"/>
        <v>0</v>
      </c>
      <c r="P229" s="34">
        <f t="shared" si="98"/>
        <v>0</v>
      </c>
      <c r="Q229" s="34">
        <f t="shared" si="98"/>
        <v>0</v>
      </c>
      <c r="R229" s="34">
        <f t="shared" si="98"/>
        <v>0</v>
      </c>
      <c r="S229" s="34">
        <f t="shared" si="98"/>
        <v>0</v>
      </c>
      <c r="T229" s="34">
        <f t="shared" si="98"/>
        <v>0</v>
      </c>
      <c r="U229" s="34">
        <f t="shared" si="98"/>
        <v>0</v>
      </c>
      <c r="V229" s="34">
        <f t="shared" si="93"/>
        <v>23.4</v>
      </c>
      <c r="W229" s="34">
        <f t="shared" si="94"/>
        <v>0</v>
      </c>
      <c r="X229" s="34">
        <f>IF(AND($F$44&gt;0,$K$101&lt;&gt;"",$K$101&lt;&gt;"Tier 1",N($K$108)&lt;=$F$44),$K$107-W229,0)</f>
        <v>0</v>
      </c>
    </row>
    <row r="230" spans="2:25">
      <c r="B230" s="27" t="str">
        <f>"Item 6: "&amp;IF($L$100="","not used",$L$100)</f>
        <v>Item 6: Transfer kiosk roofs (steel sheet)</v>
      </c>
      <c r="C230" s="33" t="str">
        <f>IF($L$101="","",$L$101)</f>
        <v>Tier 2</v>
      </c>
      <c r="D230" s="33" t="s">
        <v>359</v>
      </c>
      <c r="E230" s="33" t="s">
        <v>174</v>
      </c>
      <c r="F230" s="33"/>
      <c r="G230" s="34">
        <f t="shared" ref="G230:U230" si="99">IF(OR(G$117=0,$L$101="",N($L$107)=0),0,IF($L$101="Tier 1",IF(AND(G$114&gt;=$L$108,IF(N($L$109)&gt;0,MOD(G$114-$L$108,$L$109)=0,G$114=$L$108)),$L$107,0),$L$107/($L$110*365)*MAX(0,MIN(G$119+1,$L$111+$L$110*365)-MAX(G$118,$L$111))))</f>
        <v>1.4518356164383561</v>
      </c>
      <c r="H230" s="34">
        <f t="shared" si="99"/>
        <v>2.88</v>
      </c>
      <c r="I230" s="34">
        <f t="shared" si="99"/>
        <v>2.8878904109589039</v>
      </c>
      <c r="J230" s="34">
        <f t="shared" si="99"/>
        <v>2.88</v>
      </c>
      <c r="K230" s="34">
        <f t="shared" si="99"/>
        <v>2.88</v>
      </c>
      <c r="L230" s="34">
        <f t="shared" si="99"/>
        <v>1.4202739726027396</v>
      </c>
      <c r="M230" s="34">
        <f t="shared" si="99"/>
        <v>0</v>
      </c>
      <c r="N230" s="34">
        <f t="shared" si="99"/>
        <v>0</v>
      </c>
      <c r="O230" s="34">
        <f t="shared" si="99"/>
        <v>0</v>
      </c>
      <c r="P230" s="34">
        <f t="shared" si="99"/>
        <v>0</v>
      </c>
      <c r="Q230" s="34">
        <f t="shared" si="99"/>
        <v>0</v>
      </c>
      <c r="R230" s="34">
        <f t="shared" si="99"/>
        <v>0</v>
      </c>
      <c r="S230" s="34">
        <f t="shared" si="99"/>
        <v>0</v>
      </c>
      <c r="T230" s="34">
        <f t="shared" si="99"/>
        <v>0</v>
      </c>
      <c r="U230" s="34">
        <f t="shared" si="99"/>
        <v>0</v>
      </c>
      <c r="V230" s="34">
        <f t="shared" si="93"/>
        <v>14.399999999999999</v>
      </c>
      <c r="W230" s="34">
        <f t="shared" si="94"/>
        <v>0</v>
      </c>
      <c r="X230" s="34">
        <f>IF(AND($F$44&gt;0,$L$101&lt;&gt;"",$L$101&lt;&gt;"Tier 1",N($L$108)&lt;=$F$44),$L$107-W230,0)</f>
        <v>0</v>
      </c>
    </row>
    <row r="231" spans="2:25">
      <c r="B231" s="27" t="str">
        <f>"Item 7: "&amp;IF($M$100="","not used",$M$100)</f>
        <v>Item 7: Composting site slab and drains</v>
      </c>
      <c r="C231" s="33" t="str">
        <f>IF($M$101="","",$M$101)</f>
        <v>Tier 3</v>
      </c>
      <c r="D231" s="33" t="s">
        <v>359</v>
      </c>
      <c r="E231" s="33" t="s">
        <v>174</v>
      </c>
      <c r="F231" s="33"/>
      <c r="G231" s="34">
        <f t="shared" ref="G231:U231" si="100">IF(OR(G$117=0,$M$101="",N($M$107)=0),0,IF($M$101="Tier 1",IF(AND(G$114&gt;=$M$108,IF(N($M$109)&gt;0,MOD(G$114-$M$108,$M$109)=0,G$114=$M$108)),$M$107,0),$M$107/($M$110*365)*MAX(0,MIN(G$119+1,$M$111+$M$110*365)-MAX(G$118,$M$111))))</f>
        <v>21.777534246575343</v>
      </c>
      <c r="H231" s="34">
        <f t="shared" si="100"/>
        <v>43.199999999999996</v>
      </c>
      <c r="I231" s="34">
        <f t="shared" si="100"/>
        <v>43.318356164383559</v>
      </c>
      <c r="J231" s="34">
        <f t="shared" si="100"/>
        <v>43.199999999999996</v>
      </c>
      <c r="K231" s="34">
        <f t="shared" si="100"/>
        <v>43.199999999999996</v>
      </c>
      <c r="L231" s="34">
        <f t="shared" si="100"/>
        <v>21.304109589041094</v>
      </c>
      <c r="M231" s="34">
        <f t="shared" si="100"/>
        <v>0</v>
      </c>
      <c r="N231" s="34">
        <f t="shared" si="100"/>
        <v>0</v>
      </c>
      <c r="O231" s="34">
        <f t="shared" si="100"/>
        <v>0</v>
      </c>
      <c r="P231" s="34">
        <f t="shared" si="100"/>
        <v>0</v>
      </c>
      <c r="Q231" s="34">
        <f t="shared" si="100"/>
        <v>0</v>
      </c>
      <c r="R231" s="34">
        <f t="shared" si="100"/>
        <v>0</v>
      </c>
      <c r="S231" s="34">
        <f t="shared" si="100"/>
        <v>0</v>
      </c>
      <c r="T231" s="34">
        <f t="shared" si="100"/>
        <v>0</v>
      </c>
      <c r="U231" s="34">
        <f t="shared" si="100"/>
        <v>0</v>
      </c>
      <c r="V231" s="34">
        <f t="shared" si="93"/>
        <v>216</v>
      </c>
      <c r="W231" s="34">
        <f t="shared" si="94"/>
        <v>0</v>
      </c>
      <c r="X231" s="34">
        <f>IF(AND($F$44&gt;0,$M$101&lt;&gt;"",$M$101&lt;&gt;"Tier 1",N($M$108)&lt;=$F$44),$M$107-W231,0)</f>
        <v>0</v>
      </c>
    </row>
    <row r="232" spans="2:25">
      <c r="B232" s="27" t="str">
        <f>"Item 8: "&amp;IF($N$100="","not used",$N$100)</f>
        <v>Item 8: Composting sheds</v>
      </c>
      <c r="C232" s="33" t="str">
        <f>IF($N$101="","",$N$101)</f>
        <v>Tier 3</v>
      </c>
      <c r="D232" s="33" t="s">
        <v>359</v>
      </c>
      <c r="E232" s="33" t="s">
        <v>174</v>
      </c>
      <c r="F232" s="33"/>
      <c r="G232" s="34">
        <f t="shared" ref="G232:U232" si="101">IF(OR(G$117=0,$N$101="",N($N$107)=0),0,IF($N$101="Tier 1",IF(AND(G$114&gt;=$N$108,IF(N($N$109)&gt;0,MOD(G$114-$N$108,$N$109)=0,G$114=$N$108)),$N$107,0),$N$107/($N$110*365)*MAX(0,MIN(G$119+1,$N$111+$N$110*365)-MAX(G$118,$N$111))))</f>
        <v>15.486246575342467</v>
      </c>
      <c r="H232" s="34">
        <f t="shared" si="101"/>
        <v>30.720000000000002</v>
      </c>
      <c r="I232" s="34">
        <f t="shared" si="101"/>
        <v>30.804164383561645</v>
      </c>
      <c r="J232" s="34">
        <f t="shared" si="101"/>
        <v>30.720000000000002</v>
      </c>
      <c r="K232" s="34">
        <f t="shared" si="101"/>
        <v>30.720000000000002</v>
      </c>
      <c r="L232" s="34">
        <f t="shared" si="101"/>
        <v>15.14958904109589</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153.6</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191.07484931506849</v>
      </c>
      <c r="H233" s="34">
        <f t="shared" si="102"/>
        <v>343.98</v>
      </c>
      <c r="I233" s="34">
        <f t="shared" si="102"/>
        <v>231.70323287671235</v>
      </c>
      <c r="J233" s="34">
        <f t="shared" si="102"/>
        <v>268.98</v>
      </c>
      <c r="K233" s="34">
        <f t="shared" si="102"/>
        <v>343.98</v>
      </c>
      <c r="L233" s="34">
        <f t="shared" si="102"/>
        <v>190.18191780821917</v>
      </c>
      <c r="M233" s="34">
        <f t="shared" si="102"/>
        <v>187.5</v>
      </c>
      <c r="N233" s="34">
        <f t="shared" si="102"/>
        <v>262.5</v>
      </c>
      <c r="O233" s="34">
        <f t="shared" si="102"/>
        <v>150</v>
      </c>
      <c r="P233" s="34">
        <f t="shared" si="102"/>
        <v>187.5</v>
      </c>
      <c r="Q233" s="34">
        <f t="shared" si="102"/>
        <v>0</v>
      </c>
      <c r="R233" s="34">
        <f t="shared" si="102"/>
        <v>0</v>
      </c>
      <c r="S233" s="34">
        <f t="shared" si="102"/>
        <v>0</v>
      </c>
      <c r="T233" s="34">
        <f t="shared" si="102"/>
        <v>0</v>
      </c>
      <c r="U233" s="34">
        <f t="shared" si="102"/>
        <v>0</v>
      </c>
      <c r="V233" s="34">
        <f t="shared" si="93"/>
        <v>2357.4</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191.07484931506849</v>
      </c>
      <c r="H240" s="31">
        <f t="shared" si="107"/>
        <v>343.98</v>
      </c>
      <c r="I240" s="31">
        <f t="shared" si="107"/>
        <v>231.70323287671235</v>
      </c>
      <c r="J240" s="31">
        <f t="shared" si="107"/>
        <v>268.98</v>
      </c>
      <c r="K240" s="31">
        <f t="shared" si="107"/>
        <v>343.98</v>
      </c>
      <c r="L240" s="31">
        <f t="shared" si="107"/>
        <v>190.18191780821917</v>
      </c>
      <c r="M240" s="31">
        <f t="shared" si="107"/>
        <v>187.5</v>
      </c>
      <c r="N240" s="31">
        <f t="shared" si="107"/>
        <v>262.5</v>
      </c>
      <c r="O240" s="31">
        <f t="shared" si="107"/>
        <v>150</v>
      </c>
      <c r="P240" s="31">
        <f t="shared" si="107"/>
        <v>187.5</v>
      </c>
      <c r="Q240" s="31">
        <f t="shared" si="107"/>
        <v>0</v>
      </c>
      <c r="R240" s="31">
        <f t="shared" si="107"/>
        <v>0</v>
      </c>
      <c r="S240" s="31">
        <f t="shared" si="107"/>
        <v>0</v>
      </c>
      <c r="T240" s="31">
        <f t="shared" si="107"/>
        <v>0</v>
      </c>
      <c r="U240" s="31">
        <f t="shared" si="107"/>
        <v>0</v>
      </c>
      <c r="V240" s="31">
        <f t="shared" si="93"/>
        <v>2357.4</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-95.714467029144913</v>
      </c>
      <c r="H243" s="34">
        <f t="shared" si="109"/>
        <v>444.34189456569084</v>
      </c>
      <c r="I243" s="34">
        <f t="shared" si="109"/>
        <v>932.97550771080012</v>
      </c>
      <c r="J243" s="34">
        <f t="shared" si="109"/>
        <v>1089.1253498275937</v>
      </c>
      <c r="K243" s="34">
        <f t="shared" si="109"/>
        <v>1121.4975173622715</v>
      </c>
      <c r="L243" s="34">
        <f t="shared" si="109"/>
        <v>1275.2955995540524</v>
      </c>
      <c r="M243" s="34">
        <f t="shared" si="109"/>
        <v>1282.5187235917567</v>
      </c>
      <c r="N243" s="34">
        <f t="shared" si="109"/>
        <v>1202.9775173622716</v>
      </c>
      <c r="O243" s="34">
        <f t="shared" si="109"/>
        <v>1315.4775173622716</v>
      </c>
      <c r="P243" s="34">
        <f t="shared" si="109"/>
        <v>1277.9775173622716</v>
      </c>
      <c r="Q243" s="34">
        <f t="shared" si="109"/>
        <v>0</v>
      </c>
      <c r="R243" s="34">
        <f t="shared" si="109"/>
        <v>0</v>
      </c>
      <c r="S243" s="34">
        <f t="shared" si="109"/>
        <v>0</v>
      </c>
      <c r="T243" s="34">
        <f t="shared" si="109"/>
        <v>0</v>
      </c>
      <c r="U243" s="34">
        <f t="shared" si="109"/>
        <v>0</v>
      </c>
      <c r="V243" s="34">
        <f>SUMPRODUCT($G$117:$U$117,G243:U243)</f>
        <v>9846.4726776698335</v>
      </c>
    </row>
    <row r="244" spans="2:25">
      <c r="B244" s="30" t="s">
        <v>721</v>
      </c>
      <c r="C244" s="33"/>
      <c r="D244" s="33" t="s">
        <v>359</v>
      </c>
      <c r="E244" s="33" t="s">
        <v>722</v>
      </c>
      <c r="F244" s="33"/>
      <c r="G244" s="31">
        <f t="shared" ref="G244:U244" si="110">IF(G$117=1,MAX(0,G243),0)</f>
        <v>0</v>
      </c>
      <c r="H244" s="31">
        <f t="shared" si="110"/>
        <v>444.34189456569084</v>
      </c>
      <c r="I244" s="31">
        <f t="shared" si="110"/>
        <v>932.97550771080012</v>
      </c>
      <c r="J244" s="31">
        <f t="shared" si="110"/>
        <v>1089.1253498275937</v>
      </c>
      <c r="K244" s="31">
        <f t="shared" si="110"/>
        <v>1121.4975173622715</v>
      </c>
      <c r="L244" s="31">
        <f t="shared" si="110"/>
        <v>1275.2955995540524</v>
      </c>
      <c r="M244" s="31">
        <f t="shared" si="110"/>
        <v>1282.5187235917567</v>
      </c>
      <c r="N244" s="31">
        <f t="shared" si="110"/>
        <v>1202.9775173622716</v>
      </c>
      <c r="O244" s="31">
        <f t="shared" si="110"/>
        <v>1315.4775173622716</v>
      </c>
      <c r="P244" s="31">
        <f t="shared" si="110"/>
        <v>1277.9775173622716</v>
      </c>
      <c r="Q244" s="31">
        <f t="shared" si="110"/>
        <v>0</v>
      </c>
      <c r="R244" s="31">
        <f t="shared" si="110"/>
        <v>0</v>
      </c>
      <c r="S244" s="31">
        <f t="shared" si="110"/>
        <v>0</v>
      </c>
      <c r="T244" s="31">
        <f t="shared" si="110"/>
        <v>0</v>
      </c>
      <c r="U244" s="31">
        <f t="shared" si="110"/>
        <v>0</v>
      </c>
      <c r="V244" s="31">
        <f>SUMPRODUCT($G$117:$U$117,G244:U244)</f>
        <v>9942.187144698979</v>
      </c>
    </row>
    <row r="245" spans="2:25" ht="36" customHeight="1">
      <c r="B245" s="27" t="s">
        <v>723</v>
      </c>
      <c r="C245" s="33"/>
      <c r="D245" s="33"/>
      <c r="E245" s="33"/>
      <c r="F245" s="33"/>
      <c r="G245" s="62" t="str">
        <f t="shared" ref="G245:U245" si="111">IF(AND(G$117=1,G243&lt;0),"Negative: not claimed, not carried forward","")</f>
        <v>Negative: not claimed, not carried forward</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0</v>
      </c>
      <c r="H246" s="34">
        <f>SUM($G244:H244)</f>
        <v>444.34189456569084</v>
      </c>
      <c r="I246" s="34">
        <f>SUM($G244:I244)</f>
        <v>1377.3174022764911</v>
      </c>
      <c r="J246" s="34">
        <f>SUM($G244:J244)</f>
        <v>2466.4427521040848</v>
      </c>
      <c r="K246" s="34">
        <f>SUM($G244:K244)</f>
        <v>3587.9402694663563</v>
      </c>
      <c r="L246" s="34">
        <f>SUM($G244:L244)</f>
        <v>4863.2358690204092</v>
      </c>
      <c r="M246" s="34">
        <f>SUM($G244:M244)</f>
        <v>6145.7545926121657</v>
      </c>
      <c r="N246" s="34">
        <f>SUM($G244:N244)</f>
        <v>7348.7321099744368</v>
      </c>
      <c r="O246" s="34">
        <f>SUM($G244:O244)</f>
        <v>8664.2096273367079</v>
      </c>
      <c r="P246" s="34">
        <f>SUM($G244:P244)</f>
        <v>9942.187144698979</v>
      </c>
      <c r="Q246" s="34">
        <f>SUM($G244:Q244)</f>
        <v>9942.187144698979</v>
      </c>
      <c r="R246" s="34">
        <f>SUM($G244:R244)</f>
        <v>9942.187144698979</v>
      </c>
      <c r="S246" s="34">
        <f>SUM($G244:S244)</f>
        <v>9942.187144698979</v>
      </c>
      <c r="T246" s="34">
        <f>SUM($G244:T244)</f>
        <v>9942.187144698979</v>
      </c>
      <c r="U246" s="34">
        <f>SUM($G244:U244)</f>
        <v>9942.187144698979</v>
      </c>
      <c r="V246" s="33"/>
    </row>
    <row r="248" spans="2:25" ht="20.100000000000001" customHeight="1">
      <c r="B248" s="20" t="s">
        <v>725</v>
      </c>
      <c r="C248" s="20"/>
      <c r="D248" s="20"/>
      <c r="E248" s="20"/>
      <c r="F248" s="20"/>
    </row>
    <row r="249" spans="2:25">
      <c r="B249" s="27" t="s">
        <v>726</v>
      </c>
      <c r="C249" s="33"/>
      <c r="D249" s="33" t="s">
        <v>359</v>
      </c>
      <c r="E249" s="33"/>
      <c r="F249" s="31">
        <f>SUMPRODUCT(($G$116:$U$116=1)*($G$244:$U$244))</f>
        <v>3587.9402694663563</v>
      </c>
    </row>
    <row r="250" spans="2:25">
      <c r="B250" s="27" t="s">
        <v>727</v>
      </c>
      <c r="C250" s="33"/>
      <c r="D250" s="33" t="s">
        <v>359</v>
      </c>
      <c r="E250" s="33"/>
      <c r="F250" s="31">
        <f>SUMPRODUCT(($G$116:$U$116=2)*($G$244:$U$244))</f>
        <v>6354.246875232624</v>
      </c>
    </row>
    <row r="251" spans="2:25">
      <c r="B251" s="27" t="s">
        <v>728</v>
      </c>
      <c r="C251" s="33"/>
      <c r="D251" s="33" t="s">
        <v>359</v>
      </c>
      <c r="E251" s="33"/>
      <c r="F251" s="31">
        <f>SUMPRODUCT(($G$116:$U$116=3)*($G$244:$U$244))</f>
        <v>0</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64" priority="1">
      <formula>$G$75=""</formula>
    </cfRule>
  </conditionalFormatting>
  <conditionalFormatting sqref="B138:V150">
    <cfRule type="expression" dxfId="63" priority="2">
      <formula>$H$75=""</formula>
    </cfRule>
  </conditionalFormatting>
  <conditionalFormatting sqref="B152:V164">
    <cfRule type="expression" dxfId="62" priority="3">
      <formula>$I$75=""</formula>
    </cfRule>
  </conditionalFormatting>
  <conditionalFormatting sqref="B166:V178">
    <cfRule type="expression" dxfId="61" priority="4">
      <formula>$J$75=""</formula>
    </cfRule>
  </conditionalFormatting>
  <conditionalFormatting sqref="B180:V192">
    <cfRule type="expression" dxfId="60" priority="5">
      <formula>$K$75=""</formula>
    </cfRule>
  </conditionalFormatting>
  <conditionalFormatting sqref="F14">
    <cfRule type="expression" dxfId="59" priority="9">
      <formula>LEFT(F14,6)="Review"</formula>
    </cfRule>
  </conditionalFormatting>
  <conditionalFormatting sqref="G96:K96">
    <cfRule type="expression" dxfId="58" priority="8">
      <formula>AND(G96&lt;&gt;"",G96&lt;&gt;"OK")</formula>
    </cfRule>
  </conditionalFormatting>
  <conditionalFormatting sqref="G115:U246">
    <cfRule type="expression" dxfId="57" priority="6">
      <formula>G$117=0</formula>
    </cfRule>
  </conditionalFormatting>
  <conditionalFormatting sqref="G122:U122">
    <cfRule type="expression" dxfId="56" priority="7">
      <formula>LEFT(G122,7)="Carried"</formula>
    </cfRule>
  </conditionalFormatting>
  <dataValidations count="19">
    <dataValidation type="list" allowBlank="1" showErrorMessage="1" errorTitle="Invalid entry" error="Select a value from the list." sqref="F18" xr:uid="{00000000-0002-0000-0400-000000000000}">
      <formula1>L_Country</formula1>
    </dataValidation>
    <dataValidation type="list" allowBlank="1" showErrorMessage="1" errorTitle="Invalid entry" error="Select a value from the list." sqref="F20" xr:uid="{00000000-0002-0000-0400-000001000000}">
      <formula1>L_BOD</formula1>
    </dataValidation>
    <dataValidation type="list" allowBlank="1" showErrorMessage="1" errorTitle="Invalid entry" error="Select a value from the list." sqref="F43" xr:uid="{00000000-0002-0000-0400-000002000000}">
      <formula1>L_Ops</formula1>
    </dataValidation>
    <dataValidation type="list" allowBlank="1" showErrorMessage="1" errorTitle="Invalid entry" error="Select a value from the list." sqref="F45" xr:uid="{00000000-0002-0000-0400-000003000000}">
      <formula1>L_Elec</formula1>
    </dataValidation>
    <dataValidation type="list" allowBlank="1" showErrorMessage="1" errorTitle="Invalid entry" error="Select a value from the list." sqref="F48 F51" xr:uid="{00000000-0002-0000-0400-000004000000}">
      <formula1>L_Fuel</formula1>
    </dataValidation>
    <dataValidation type="list" allowBlank="1" showErrorMessage="1" errorTitle="Invalid entry" error="Select a value from the list." sqref="F50" xr:uid="{00000000-0002-0000-0400-000005000000}">
      <formula1>L_Transport</formula1>
    </dataValidation>
    <dataValidation type="date" showErrorMessage="1" error="Enter a date between 1 January 2026 and 31 December 2035." sqref="F42" xr:uid="{00000000-0002-0000-0400-000006000000}">
      <formula1>DATE(2026,1,1)</formula1>
      <formula2>DATE(2035,12,31)</formula2>
    </dataValidation>
    <dataValidation type="whole" allowBlank="1" showErrorMessage="1" error="Enter a value between 0 and 15." sqref="F44 G109:N109" xr:uid="{00000000-0002-0000-0400-000007000000}">
      <formula1>0</formula1>
      <formula2>15</formula2>
    </dataValidation>
    <dataValidation type="decimal" allowBlank="1" showErrorMessage="1" error="Enter a value between 0 and 1." sqref="G200:U201 G95:K95 E60:E63" xr:uid="{00000000-0002-0000-0400-000008000000}">
      <formula1>0</formula1>
      <formula2>1</formula2>
    </dataValidation>
    <dataValidation type="list" allowBlank="1" showErrorMessage="1" errorTitle="Invalid entry" error="Select a value from the list." sqref="F69" xr:uid="{00000000-0002-0000-0400-00000C000000}">
      <formula1>L_SDUAF</formula1>
    </dataValidation>
    <dataValidation type="list" allowBlank="1" showErrorMessage="1" errorTitle="Invalid entry" error="Select a value from the list." sqref="G75 H75 I75 J75 K75" xr:uid="{00000000-0002-0000-0400-00000D000000}">
      <formula1>L_Pathway</formula1>
    </dataValidation>
    <dataValidation type="list" allowBlank="1" showErrorMessage="1" errorTitle="Invalid entry" error="Select a value from the list." sqref="G77 H77 I77 J77 K77" xr:uid="{00000000-0002-0000-0400-00000E000000}">
      <formula1>L_Emptied</formula1>
    </dataValidation>
    <dataValidation type="list" allowBlank="1" showErrorMessage="1" errorTitle="Invalid entry" error="Select a value from the list." sqref="G78 H78 I78 J78 K78" xr:uid="{00000000-0002-0000-0400-00000F000000}">
      <formula1>L_Route</formula1>
    </dataValidation>
    <dataValidation type="list" allowBlank="1" showErrorMessage="1" errorTitle="Invalid entry" error="Select a value from the list." sqref="G81 H81 I81 J81 K81" xr:uid="{00000000-0002-0000-0400-000010000000}">
      <formula1>L_UAF</formula1>
    </dataValidation>
    <dataValidation type="list" allowBlank="1" showErrorMessage="1" errorTitle="Invalid entry" error="Select a value from the list." sqref="G86 G87 H86 H87 I86 I87 J86 J87 K86 K87" xr:uid="{00000000-0002-0000-0400-000011000000}">
      <formula1>L_Unit</formula1>
    </dataValidation>
    <dataValidation type="list" allowBlank="1" showErrorMessage="1" errorTitle="Invalid entry" error="Select a value from the list." sqref="G94 H94 I94 J94 K94" xr:uid="{00000000-0002-0000-0400-000012000000}">
      <formula1>L_YesNo</formula1>
    </dataValidation>
    <dataValidation type="list" allowBlank="1" showErrorMessage="1" errorTitle="Invalid entry" error="Select a value from the list." sqref="G101 H101 I101 J101 K101 L101 M101 N101" xr:uid="{00000000-0002-0000-0400-000018000000}">
      <formula1>L_Tier</formula1>
    </dataValidation>
    <dataValidation type="list" allowBlank="1" showErrorMessage="1" errorTitle="Invalid entry" error="Select a value from the list." sqref="G102 H102 I102 J102 K102 L102 M102 N102" xr:uid="{00000000-0002-0000-0400-000019000000}">
      <formula1>L_Material</formula1>
    </dataValidation>
    <dataValidation type="whole" allowBlank="1" showErrorMessage="1" error="Enter a value between 1 and 15." sqref="G108:N108" xr:uid="{00000000-0002-0000-0400-00001A000000}">
      <formula1>1</formula1>
      <formula2>15</formula2>
    </dataValidation>
  </dataValidations>
  <pageMargins left="0.75" right="0.75" top="1" bottom="1" header="0.5" footer="0.5"/>
  <pageSetup paperSize="9"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729</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730</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54746.92887275172</v>
      </c>
    </row>
    <row r="7" spans="2:25">
      <c r="B7" s="30" t="s">
        <v>360</v>
      </c>
      <c r="C7" s="33"/>
      <c r="D7" s="33" t="s">
        <v>359</v>
      </c>
      <c r="E7" s="33"/>
      <c r="F7" s="31">
        <f>SUMPRODUCT(($G$114:$U$114&lt;=10)*($G$244:$U$244))</f>
        <v>54746.92887275172</v>
      </c>
    </row>
    <row r="8" spans="2:25">
      <c r="B8" s="27" t="s">
        <v>361</v>
      </c>
      <c r="C8" s="33"/>
      <c r="D8" s="33" t="s">
        <v>359</v>
      </c>
      <c r="E8" s="33"/>
      <c r="F8" s="34">
        <f>IF(SUM($G$117:$U$117)&gt;0,V244/SUM($G$117:$U$117),0)</f>
        <v>5474.6928872751723</v>
      </c>
    </row>
    <row r="9" spans="2:25">
      <c r="B9" s="27" t="s">
        <v>362</v>
      </c>
      <c r="C9" s="33"/>
      <c r="D9" s="33" t="s">
        <v>359</v>
      </c>
      <c r="E9" s="33"/>
      <c r="F9" s="34">
        <f>V202</f>
        <v>63428.659806251897</v>
      </c>
    </row>
    <row r="10" spans="2:25">
      <c r="B10" s="27" t="s">
        <v>363</v>
      </c>
      <c r="C10" s="33"/>
      <c r="D10" s="33" t="s">
        <v>359</v>
      </c>
      <c r="E10" s="33"/>
      <c r="F10" s="34">
        <f>V222</f>
        <v>5500.5309335001775</v>
      </c>
    </row>
    <row r="11" spans="2:25">
      <c r="B11" s="27" t="s">
        <v>364</v>
      </c>
      <c r="C11" s="33"/>
      <c r="D11" s="33" t="s">
        <v>359</v>
      </c>
      <c r="E11" s="33"/>
      <c r="F11" s="34">
        <f>V240</f>
        <v>3181.2</v>
      </c>
    </row>
    <row r="12" spans="2:25">
      <c r="B12" s="27" t="s">
        <v>365</v>
      </c>
      <c r="C12" s="33"/>
      <c r="D12" s="33" t="s">
        <v>359</v>
      </c>
      <c r="E12" s="33"/>
      <c r="F12" s="34">
        <f>V203</f>
        <v>2059.4118513023986</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374</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3.6999999999999998E-2</v>
      </c>
      <c r="G19" s="94" t="str">
        <f>"Table 6.4 entry: "&amp;INDEX(Defaults!$C$32:$C$64,MATCH($F$18,Defaults!$B$32:$B$64,0))</f>
        <v>Table 6.4 entry: Africa</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3.6999999999999998E-2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67.94</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3.9676959999999997</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2.76E-2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2.76E-2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10</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ht="22.5">
      <c r="B45" s="27" t="s">
        <v>441</v>
      </c>
      <c r="C45" s="33"/>
      <c r="D45" s="33"/>
      <c r="E45" s="33" t="s">
        <v>442</v>
      </c>
      <c r="F45" s="51" t="s">
        <v>443</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c r="G46" s="94"/>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1.3</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460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0</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732</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v>
      </c>
      <c r="F60" s="45">
        <f>C60*E60</f>
        <v>0</v>
      </c>
      <c r="G60" s="45">
        <f>(C60-D60)*E60</f>
        <v>0</v>
      </c>
    </row>
    <row r="61" spans="2:25">
      <c r="B61" s="27" t="s">
        <v>482</v>
      </c>
      <c r="C61" s="36">
        <f>INDEX(Defaults!$C$69:$C$79,MATCH(B61,Defaults!$B$69:$B$79,0))</f>
        <v>0.7</v>
      </c>
      <c r="D61" s="36">
        <f>IF(ISNUMBER(INDEX(Defaults!$D$69:$D$79,MATCH(B61,Defaults!$B$69:$B$79,0))),INDEX(Defaults!$D$69:$D$79,MATCH(B61,Defaults!$B$69:$B$79,0)),C61)</f>
        <v>0.7</v>
      </c>
      <c r="E61" s="53">
        <v>0</v>
      </c>
      <c r="F61" s="45">
        <f>C61*E61</f>
        <v>0</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v>
      </c>
      <c r="F62" s="45">
        <f>C62*E62</f>
        <v>0</v>
      </c>
      <c r="G62" s="45">
        <f>(C62-D62)*E62</f>
        <v>0</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0</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733</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0.56999999999999995</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734</v>
      </c>
      <c r="H74" s="51" t="s">
        <v>735</v>
      </c>
      <c r="I74" s="51" t="s">
        <v>736</v>
      </c>
      <c r="J74" s="51" t="s">
        <v>737</v>
      </c>
      <c r="K74" s="51"/>
    </row>
    <row r="75" spans="2:25" ht="44.1" customHeight="1">
      <c r="B75" s="27" t="s">
        <v>508</v>
      </c>
      <c r="C75" s="33" t="s">
        <v>509</v>
      </c>
      <c r="D75" s="33"/>
      <c r="E75" s="33" t="s">
        <v>510</v>
      </c>
      <c r="F75" s="33"/>
      <c r="G75" s="51" t="s">
        <v>482</v>
      </c>
      <c r="H75" s="51" t="s">
        <v>738</v>
      </c>
      <c r="I75" s="51" t="s">
        <v>482</v>
      </c>
      <c r="J75" s="51" t="s">
        <v>481</v>
      </c>
      <c r="K75" s="51"/>
    </row>
    <row r="76" spans="2:25">
      <c r="B76" s="27" t="s">
        <v>513</v>
      </c>
      <c r="C76" s="33"/>
      <c r="D76" s="33" t="s">
        <v>514</v>
      </c>
      <c r="E76" s="33" t="s">
        <v>515</v>
      </c>
      <c r="F76" s="33"/>
      <c r="G76" s="60"/>
      <c r="H76" s="60">
        <v>10</v>
      </c>
      <c r="I76" s="60"/>
      <c r="J76" s="60">
        <v>5</v>
      </c>
      <c r="K76" s="60"/>
    </row>
    <row r="77" spans="2:25" ht="44.1" customHeight="1">
      <c r="B77" s="27" t="s">
        <v>516</v>
      </c>
      <c r="C77" s="33"/>
      <c r="D77" s="33"/>
      <c r="E77" s="33" t="s">
        <v>517</v>
      </c>
      <c r="F77" s="33"/>
      <c r="G77" s="51" t="s">
        <v>518</v>
      </c>
      <c r="H77" s="51" t="s">
        <v>518</v>
      </c>
      <c r="I77" s="51" t="s">
        <v>739</v>
      </c>
      <c r="J77" s="51" t="s">
        <v>739</v>
      </c>
      <c r="K77" s="51"/>
    </row>
    <row r="78" spans="2:25" ht="44.1" customHeight="1">
      <c r="B78" s="27" t="s">
        <v>519</v>
      </c>
      <c r="C78" s="33"/>
      <c r="D78" s="33"/>
      <c r="E78" s="33" t="s">
        <v>520</v>
      </c>
      <c r="F78" s="33"/>
      <c r="G78" s="51" t="s">
        <v>521</v>
      </c>
      <c r="H78" s="51" t="s">
        <v>521</v>
      </c>
      <c r="I78" s="51" t="s">
        <v>521</v>
      </c>
      <c r="J78" s="51" t="s">
        <v>521</v>
      </c>
      <c r="K78" s="51"/>
    </row>
    <row r="79" spans="2:25">
      <c r="B79" s="27" t="s">
        <v>522</v>
      </c>
      <c r="C79" s="33" t="s">
        <v>490</v>
      </c>
      <c r="D79" s="33" t="s">
        <v>398</v>
      </c>
      <c r="E79" s="33" t="s">
        <v>125</v>
      </c>
      <c r="F79" s="33"/>
      <c r="G79" s="40"/>
      <c r="H79" s="40"/>
      <c r="I79" s="40"/>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0.7</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0.5</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0.7</v>
      </c>
      <c r="J80" s="61">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0.1</v>
      </c>
      <c r="K80" s="61" t="str">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
      </c>
    </row>
    <row r="81" spans="2:11">
      <c r="B81" s="27" t="s">
        <v>525</v>
      </c>
      <c r="C81" s="33"/>
      <c r="D81" s="33"/>
      <c r="E81" s="33" t="s">
        <v>526</v>
      </c>
      <c r="F81" s="33"/>
      <c r="G81" s="51" t="s">
        <v>527</v>
      </c>
      <c r="H81" s="51" t="s">
        <v>527</v>
      </c>
      <c r="I81" s="51" t="s">
        <v>527</v>
      </c>
      <c r="J81" s="51" t="s">
        <v>527</v>
      </c>
      <c r="K81" s="51"/>
    </row>
    <row r="82" spans="2:11" ht="22.5">
      <c r="B82" s="27" t="s">
        <v>528</v>
      </c>
      <c r="C82" s="33" t="s">
        <v>493</v>
      </c>
      <c r="D82" s="33" t="s">
        <v>398</v>
      </c>
      <c r="E82" s="33" t="s">
        <v>529</v>
      </c>
      <c r="F82" s="33"/>
      <c r="G82" s="53"/>
      <c r="H82" s="53"/>
      <c r="I82" s="53"/>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0.72</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0.69</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0.72</v>
      </c>
      <c r="J83" s="61">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0.56999999999999995</v>
      </c>
      <c r="K83" s="61" t="str">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540</v>
      </c>
      <c r="H86" s="51" t="s">
        <v>540</v>
      </c>
      <c r="I86" s="51" t="s">
        <v>740</v>
      </c>
      <c r="J86" s="51" t="s">
        <v>740</v>
      </c>
      <c r="K86" s="51"/>
    </row>
    <row r="87" spans="2:11" ht="44.1" customHeight="1">
      <c r="B87" s="27" t="s">
        <v>541</v>
      </c>
      <c r="C87" s="33" t="s">
        <v>538</v>
      </c>
      <c r="D87" s="33"/>
      <c r="E87" s="33" t="s">
        <v>539</v>
      </c>
      <c r="F87" s="33"/>
      <c r="G87" s="51" t="s">
        <v>460</v>
      </c>
      <c r="H87" s="51" t="s">
        <v>460</v>
      </c>
      <c r="I87" s="51" t="s">
        <v>460</v>
      </c>
      <c r="J87" s="51" t="s">
        <v>460</v>
      </c>
      <c r="K87" s="51"/>
    </row>
    <row r="88" spans="2:11">
      <c r="B88" s="27" t="s">
        <v>542</v>
      </c>
      <c r="C88" s="33"/>
      <c r="D88" s="33"/>
      <c r="E88" s="33"/>
      <c r="F88" s="33"/>
      <c r="G88" s="44" t="str">
        <f>IF(G86="","NONE",INDEX(Defaults!$C$91:$C$101,MATCH(G86,Defaults!$B$91:$B$101,0)))</f>
        <v>COMP</v>
      </c>
      <c r="H88" s="44" t="str">
        <f>IF(H86="","NONE",INDEX(Defaults!$C$91:$C$101,MATCH(H86,Defaults!$B$91:$B$101,0)))</f>
        <v>COMP</v>
      </c>
      <c r="I88" s="44" t="str">
        <f>IF(I86="","NONE",INDEX(Defaults!$C$91:$C$101,MATCH(I86,Defaults!$B$91:$B$101,0)))</f>
        <v>FST</v>
      </c>
      <c r="J88" s="44" t="str">
        <f>IF(J86="","NONE",INDEX(Defaults!$C$91:$C$101,MATCH(J86,Defaults!$B$91:$B$101,0)))</f>
        <v>FST</v>
      </c>
      <c r="K88" s="44" t="str">
        <f>IF(K86="","NONE",INDEX(Defaults!$C$91:$C$101,MATCH(K86,Defaults!$B$91:$B$101,0)))</f>
        <v>NONE</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NONE</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0.2</v>
      </c>
      <c r="J90" s="41">
        <f>IF(J86="",0,INDEX(Defaults!$D$91:$D$101,MATCH(J86,Defaults!$B$91:$B$101,0)))</f>
        <v>0.2</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1.6E-2</v>
      </c>
      <c r="J92" s="45">
        <f>IF(J86="",0,INDEX(Defaults!$F$91:$F$101,MATCH(J86,Defaults!$B$91:$B$101,0)))</f>
        <v>1.6E-2</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t="s">
        <v>552</v>
      </c>
      <c r="K94" s="51"/>
    </row>
    <row r="95" spans="2:11" ht="44.1" customHeight="1">
      <c r="B95" s="27" t="s">
        <v>553</v>
      </c>
      <c r="C95" s="33"/>
      <c r="D95" s="33" t="s">
        <v>398</v>
      </c>
      <c r="E95" s="33" t="s">
        <v>466</v>
      </c>
      <c r="F95" s="33"/>
      <c r="G95" s="53">
        <v>0</v>
      </c>
      <c r="H95" s="53">
        <v>0</v>
      </c>
      <c r="I95" s="53">
        <v>0</v>
      </c>
      <c r="J95" s="53">
        <v>0</v>
      </c>
      <c r="K95" s="53"/>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OK</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564</v>
      </c>
      <c r="H100" s="51" t="s">
        <v>565</v>
      </c>
      <c r="I100" s="51" t="s">
        <v>566</v>
      </c>
      <c r="J100" s="51" t="s">
        <v>568</v>
      </c>
      <c r="K100" s="51" t="s">
        <v>741</v>
      </c>
      <c r="L100" s="51" t="s">
        <v>742</v>
      </c>
      <c r="M100" s="51" t="s">
        <v>743</v>
      </c>
      <c r="N100" s="51" t="s">
        <v>744</v>
      </c>
    </row>
    <row r="101" spans="2:25">
      <c r="B101" s="27" t="s">
        <v>572</v>
      </c>
      <c r="C101" s="33"/>
      <c r="D101" s="33"/>
      <c r="E101" s="33" t="s">
        <v>573</v>
      </c>
      <c r="F101" s="33"/>
      <c r="G101" s="51" t="s">
        <v>574</v>
      </c>
      <c r="H101" s="51" t="s">
        <v>574</v>
      </c>
      <c r="I101" s="51" t="s">
        <v>574</v>
      </c>
      <c r="J101" s="51" t="s">
        <v>575</v>
      </c>
      <c r="K101" s="51" t="s">
        <v>576</v>
      </c>
      <c r="L101" s="51" t="s">
        <v>576</v>
      </c>
      <c r="M101" s="51" t="s">
        <v>576</v>
      </c>
      <c r="N101" s="51" t="s">
        <v>576</v>
      </c>
    </row>
    <row r="102" spans="2:25" ht="30" customHeight="1">
      <c r="B102" s="27" t="s">
        <v>577</v>
      </c>
      <c r="C102" s="33" t="s">
        <v>578</v>
      </c>
      <c r="D102" s="33"/>
      <c r="E102" s="33" t="s">
        <v>579</v>
      </c>
      <c r="F102" s="33"/>
      <c r="G102" s="51" t="s">
        <v>580</v>
      </c>
      <c r="H102" s="51" t="s">
        <v>580</v>
      </c>
      <c r="I102" s="51" t="s">
        <v>580</v>
      </c>
      <c r="J102" s="51" t="s">
        <v>581</v>
      </c>
      <c r="K102" s="51" t="s">
        <v>583</v>
      </c>
      <c r="L102" s="51" t="s">
        <v>583</v>
      </c>
      <c r="M102" s="51" t="s">
        <v>582</v>
      </c>
      <c r="N102" s="51" t="s">
        <v>582</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2.5</v>
      </c>
      <c r="H104" s="41">
        <f>IF(H102="","",IF(ISNUMBER(H103),H103,INDEX(Defaults!$D$112:$D$126,MATCH(H102,Defaults!$B$112:$B$126,0))))</f>
        <v>2.5</v>
      </c>
      <c r="I104" s="41">
        <f>IF(I102="","",IF(ISNUMBER(I103),I103,INDEX(Defaults!$D$112:$D$126,MATCH(I102,Defaults!$B$112:$B$126,0))))</f>
        <v>2.5</v>
      </c>
      <c r="J104" s="41">
        <f>IF(J102="","",IF(ISNUMBER(J103),J103,INDEX(Defaults!$D$112:$D$126,MATCH(J102,Defaults!$B$112:$B$126,0))))</f>
        <v>0.13</v>
      </c>
      <c r="K104" s="41">
        <f>IF(K102="","",IF(ISNUMBER(K103),K103,INDEX(Defaults!$D$112:$D$126,MATCH(K102,Defaults!$B$112:$B$126,0))))</f>
        <v>0.18</v>
      </c>
      <c r="L104" s="41">
        <f>IF(L102="","",IF(ISNUMBER(L103),L103,INDEX(Defaults!$D$112:$D$126,MATCH(L102,Defaults!$B$112:$B$126,0))))</f>
        <v>0.18</v>
      </c>
      <c r="M104" s="41">
        <f>IF(M102="","",IF(ISNUMBER(M103),M103,INDEX(Defaults!$D$112:$D$126,MATCH(M102,Defaults!$B$112:$B$126,0))))</f>
        <v>1.6</v>
      </c>
      <c r="N104" s="41">
        <f>IF(N102="","",IF(ISNUMBER(N103),N103,INDEX(Defaults!$D$112:$D$126,MATCH(N102,Defaults!$B$112:$B$126,0))))</f>
        <v>1.6</v>
      </c>
    </row>
    <row r="105" spans="2:25">
      <c r="B105" s="27" t="s">
        <v>589</v>
      </c>
      <c r="C105" s="33" t="s">
        <v>590</v>
      </c>
      <c r="D105" s="33" t="s">
        <v>591</v>
      </c>
      <c r="E105" s="33" t="s">
        <v>260</v>
      </c>
      <c r="F105" s="33"/>
      <c r="G105" s="63">
        <v>10</v>
      </c>
      <c r="H105" s="63">
        <v>10</v>
      </c>
      <c r="I105" s="63">
        <v>10</v>
      </c>
      <c r="J105" s="63">
        <v>6000</v>
      </c>
      <c r="K105" s="63">
        <v>1500000</v>
      </c>
      <c r="L105" s="63">
        <v>400000</v>
      </c>
      <c r="M105" s="63">
        <v>9000</v>
      </c>
      <c r="N105" s="63">
        <v>7000</v>
      </c>
    </row>
    <row r="106" spans="2:25">
      <c r="B106" s="27" t="s">
        <v>592</v>
      </c>
      <c r="C106" s="33"/>
      <c r="D106" s="33" t="s">
        <v>593</v>
      </c>
      <c r="E106" s="33"/>
      <c r="F106" s="33"/>
      <c r="G106" s="63">
        <v>12800</v>
      </c>
      <c r="H106" s="63">
        <v>12800</v>
      </c>
      <c r="I106" s="63">
        <v>6400</v>
      </c>
      <c r="J106" s="63">
        <v>40</v>
      </c>
      <c r="K106" s="63">
        <v>1</v>
      </c>
      <c r="L106" s="63">
        <v>1</v>
      </c>
      <c r="M106" s="63">
        <v>3</v>
      </c>
      <c r="N106" s="63">
        <v>4</v>
      </c>
    </row>
    <row r="107" spans="2:25">
      <c r="B107" s="27" t="s">
        <v>594</v>
      </c>
      <c r="C107" s="33"/>
      <c r="D107" s="33" t="s">
        <v>359</v>
      </c>
      <c r="E107" s="33" t="s">
        <v>174</v>
      </c>
      <c r="F107" s="33"/>
      <c r="G107" s="34">
        <f t="shared" ref="G107:N107" si="0">IF(OR(G102="",G101=""),0,N(G105)*N(G106)*N(G104)/1000)</f>
        <v>320</v>
      </c>
      <c r="H107" s="34">
        <f t="shared" si="0"/>
        <v>320</v>
      </c>
      <c r="I107" s="34">
        <f t="shared" si="0"/>
        <v>160</v>
      </c>
      <c r="J107" s="34">
        <f t="shared" si="0"/>
        <v>31.2</v>
      </c>
      <c r="K107" s="34">
        <f t="shared" si="0"/>
        <v>270</v>
      </c>
      <c r="L107" s="34">
        <f t="shared" si="0"/>
        <v>72</v>
      </c>
      <c r="M107" s="34">
        <f t="shared" si="0"/>
        <v>43.2</v>
      </c>
      <c r="N107" s="34">
        <f t="shared" si="0"/>
        <v>44.8</v>
      </c>
    </row>
    <row r="108" spans="2:25">
      <c r="B108" s="27" t="s">
        <v>595</v>
      </c>
      <c r="C108" s="33"/>
      <c r="D108" s="33" t="s">
        <v>439</v>
      </c>
      <c r="E108" s="33" t="s">
        <v>174</v>
      </c>
      <c r="F108" s="33"/>
      <c r="G108" s="60">
        <v>1</v>
      </c>
      <c r="H108" s="60">
        <v>2</v>
      </c>
      <c r="I108" s="60">
        <v>3</v>
      </c>
      <c r="J108" s="60">
        <v>1</v>
      </c>
      <c r="K108" s="60">
        <v>1</v>
      </c>
      <c r="L108" s="60">
        <v>1</v>
      </c>
      <c r="M108" s="60">
        <v>1</v>
      </c>
      <c r="N108" s="60">
        <v>1</v>
      </c>
    </row>
    <row r="109" spans="2:25">
      <c r="B109" s="27" t="s">
        <v>596</v>
      </c>
      <c r="C109" s="33"/>
      <c r="D109" s="33" t="s">
        <v>436</v>
      </c>
      <c r="E109" s="33" t="s">
        <v>597</v>
      </c>
      <c r="F109" s="33"/>
      <c r="G109" s="60">
        <v>3</v>
      </c>
      <c r="H109" s="60">
        <v>3</v>
      </c>
      <c r="I109" s="60">
        <v>3</v>
      </c>
      <c r="J109" s="60"/>
      <c r="K109" s="60"/>
      <c r="L109" s="60"/>
      <c r="M109" s="60"/>
      <c r="N109" s="60"/>
    </row>
    <row r="110" spans="2:25">
      <c r="B110" s="27" t="s">
        <v>598</v>
      </c>
      <c r="C110" s="33" t="s">
        <v>599</v>
      </c>
      <c r="D110" s="33" t="s">
        <v>436</v>
      </c>
      <c r="E110" s="33" t="s">
        <v>573</v>
      </c>
      <c r="F110" s="33"/>
      <c r="G110" s="48">
        <f t="shared" ref="G110:N110" si="1">IF(G101="","",IF(G101="Tier 1",1,5))</f>
        <v>1</v>
      </c>
      <c r="H110" s="48">
        <f t="shared" si="1"/>
        <v>1</v>
      </c>
      <c r="I110" s="48">
        <f t="shared" si="1"/>
        <v>1</v>
      </c>
      <c r="J110" s="48">
        <f t="shared" si="1"/>
        <v>5</v>
      </c>
      <c r="K110" s="48">
        <f t="shared" si="1"/>
        <v>5</v>
      </c>
      <c r="L110" s="48">
        <f t="shared" si="1"/>
        <v>5</v>
      </c>
      <c r="M110" s="48">
        <f t="shared" si="1"/>
        <v>5</v>
      </c>
      <c r="N110" s="48">
        <f t="shared" si="1"/>
        <v>5</v>
      </c>
    </row>
    <row r="111" spans="2:25">
      <c r="B111" s="27" t="s">
        <v>600</v>
      </c>
      <c r="C111" s="33"/>
      <c r="D111" s="33" t="s">
        <v>432</v>
      </c>
      <c r="E111" s="33" t="s">
        <v>174</v>
      </c>
      <c r="F111" s="33"/>
      <c r="G111" s="64">
        <f t="shared" ref="G111:N111" si="2">IF(G101="","",IF(N(G108)&lt;=1,$F$42,DATE(YEAR($F$42)+G108-1,1,1)))</f>
        <v>46388</v>
      </c>
      <c r="H111" s="64">
        <f t="shared" si="2"/>
        <v>46753</v>
      </c>
      <c r="I111" s="64">
        <f t="shared" si="2"/>
        <v>47119</v>
      </c>
      <c r="J111" s="64">
        <f t="shared" si="2"/>
        <v>46388</v>
      </c>
      <c r="K111" s="64">
        <f t="shared" si="2"/>
        <v>46388</v>
      </c>
      <c r="L111" s="64">
        <f t="shared" si="2"/>
        <v>46388</v>
      </c>
      <c r="M111" s="64">
        <f t="shared" si="2"/>
        <v>46388</v>
      </c>
      <c r="N111" s="64">
        <f t="shared" si="2"/>
        <v>46388</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0</v>
      </c>
      <c r="R117" s="48">
        <f t="shared" si="6"/>
        <v>0</v>
      </c>
      <c r="S117" s="48">
        <f t="shared" si="6"/>
        <v>0</v>
      </c>
      <c r="T117" s="48">
        <f t="shared" si="6"/>
        <v>0</v>
      </c>
      <c r="U117" s="48">
        <f t="shared" si="6"/>
        <v>0</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365</v>
      </c>
      <c r="P120" s="67">
        <f t="shared" si="9"/>
        <v>366</v>
      </c>
      <c r="Q120" s="67">
        <f t="shared" si="9"/>
        <v>0</v>
      </c>
      <c r="R120" s="67">
        <f t="shared" si="9"/>
        <v>0</v>
      </c>
      <c r="S120" s="67">
        <f t="shared" si="9"/>
        <v>0</v>
      </c>
      <c r="T120" s="67">
        <f t="shared" si="9"/>
        <v>0</v>
      </c>
      <c r="U120" s="67">
        <f t="shared" si="9"/>
        <v>0</v>
      </c>
      <c r="V120" s="67">
        <f>SUMPRODUCT($G$117:$U$117,G120:U120)</f>
        <v>3653</v>
      </c>
    </row>
    <row r="121" spans="2:25">
      <c r="B121" s="27" t="s">
        <v>612</v>
      </c>
      <c r="C121" s="33" t="s">
        <v>233</v>
      </c>
      <c r="D121" s="33" t="s">
        <v>398</v>
      </c>
      <c r="E121" s="33" t="s">
        <v>232</v>
      </c>
      <c r="F121" s="33"/>
      <c r="G121" s="58">
        <f t="shared" ref="G121:U121" si="10">IF(G$117=0,0,IF(G$115&lt;=2030,$F$39,IF(G$115&lt;=2035,IF(ISNUMBER($F$40),$F$40,$F$39),IF(ISNUMBER($F$41),$F$41,IF(ISNUMBER($F$40),$F$40,$F$39)))))</f>
        <v>2.76E-2</v>
      </c>
      <c r="H121" s="58">
        <f t="shared" si="10"/>
        <v>2.76E-2</v>
      </c>
      <c r="I121" s="58">
        <f t="shared" si="10"/>
        <v>2.76E-2</v>
      </c>
      <c r="J121" s="58">
        <f t="shared" si="10"/>
        <v>2.76E-2</v>
      </c>
      <c r="K121" s="58">
        <f t="shared" si="10"/>
        <v>2.76E-2</v>
      </c>
      <c r="L121" s="58">
        <f t="shared" si="10"/>
        <v>2.76E-2</v>
      </c>
      <c r="M121" s="58">
        <f t="shared" si="10"/>
        <v>2.76E-2</v>
      </c>
      <c r="N121" s="58">
        <f t="shared" si="10"/>
        <v>2.76E-2</v>
      </c>
      <c r="O121" s="58">
        <f t="shared" si="10"/>
        <v>2.76E-2</v>
      </c>
      <c r="P121" s="58">
        <f t="shared" si="10"/>
        <v>2.76E-2</v>
      </c>
      <c r="Q121" s="58">
        <f t="shared" si="10"/>
        <v>0</v>
      </c>
      <c r="R121" s="58">
        <f t="shared" si="10"/>
        <v>0</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
      </c>
      <c r="R122" s="44" t="str">
        <f t="shared" si="11"/>
        <v/>
      </c>
      <c r="S122" s="44" t="str">
        <f t="shared" si="11"/>
        <v/>
      </c>
      <c r="T122" s="44" t="str">
        <f t="shared" si="11"/>
        <v/>
      </c>
      <c r="U122" s="44" t="str">
        <f t="shared" si="11"/>
        <v/>
      </c>
      <c r="V122" s="33"/>
    </row>
    <row r="123" spans="2:25" ht="22.5">
      <c r="B123" s="25" t="str">
        <f>"Stratum 1: "&amp;IF(G$74="","not used",G$74)</f>
        <v>Stratum 1: Wet pit latrines decommissioned; households moved to CBS</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20000</v>
      </c>
      <c r="H124" s="63">
        <v>40000</v>
      </c>
      <c r="I124" s="63">
        <v>50000</v>
      </c>
      <c r="J124" s="63">
        <v>50000</v>
      </c>
      <c r="K124" s="63">
        <v>50000</v>
      </c>
      <c r="L124" s="63">
        <v>50000</v>
      </c>
      <c r="M124" s="63">
        <v>50000</v>
      </c>
      <c r="N124" s="63">
        <v>50000</v>
      </c>
      <c r="O124" s="63">
        <v>50000</v>
      </c>
      <c r="P124" s="63">
        <v>50000</v>
      </c>
      <c r="Q124" s="63">
        <v>50000</v>
      </c>
      <c r="R124" s="63">
        <v>50000</v>
      </c>
      <c r="S124" s="63">
        <v>50000</v>
      </c>
      <c r="T124" s="63">
        <v>50000</v>
      </c>
      <c r="U124" s="63">
        <v>50000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1</v>
      </c>
      <c r="P127" s="45">
        <f t="shared" si="13"/>
        <v>1</v>
      </c>
      <c r="Q127" s="45">
        <f t="shared" si="13"/>
        <v>0</v>
      </c>
      <c r="R127" s="45">
        <f t="shared" si="13"/>
        <v>0</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3176.3760000000002</v>
      </c>
      <c r="H128" s="34">
        <f t="shared" si="14"/>
        <v>6370.1567999999988</v>
      </c>
      <c r="I128" s="34">
        <f t="shared" si="14"/>
        <v>7940.94</v>
      </c>
      <c r="J128" s="34">
        <f t="shared" si="14"/>
        <v>7940.94</v>
      </c>
      <c r="K128" s="34">
        <f t="shared" si="14"/>
        <v>7940.94</v>
      </c>
      <c r="L128" s="34">
        <f t="shared" si="14"/>
        <v>7962.6959999999999</v>
      </c>
      <c r="M128" s="34">
        <f t="shared" si="14"/>
        <v>7940.94</v>
      </c>
      <c r="N128" s="34">
        <f t="shared" si="14"/>
        <v>7940.94</v>
      </c>
      <c r="O128" s="34">
        <f t="shared" si="14"/>
        <v>7940.94</v>
      </c>
      <c r="P128" s="34">
        <f t="shared" si="14"/>
        <v>7962.6959999999999</v>
      </c>
      <c r="Q128" s="34">
        <f t="shared" si="14"/>
        <v>0</v>
      </c>
      <c r="R128" s="34">
        <f t="shared" si="14"/>
        <v>0</v>
      </c>
      <c r="S128" s="34">
        <f t="shared" si="14"/>
        <v>0</v>
      </c>
      <c r="T128" s="34">
        <f t="shared" si="14"/>
        <v>0</v>
      </c>
      <c r="U128" s="34">
        <f t="shared" si="14"/>
        <v>0</v>
      </c>
      <c r="V128" s="34">
        <f t="shared" ref="V128:V136" si="15">SUMPRODUCT($G$117:$U$117,G128:U128)</f>
        <v>73117.564800000007</v>
      </c>
    </row>
    <row r="129" spans="2:25">
      <c r="B129" s="27" t="s">
        <v>628</v>
      </c>
      <c r="C129" s="33" t="s">
        <v>629</v>
      </c>
      <c r="D129" s="33" t="s">
        <v>359</v>
      </c>
      <c r="E129" s="33" t="s">
        <v>129</v>
      </c>
      <c r="F129" s="33"/>
      <c r="G129" s="34">
        <f t="shared" ref="G129:U129" si="16">IF($G$75="",0,G128*$G$83)</f>
        <v>2286.9907200000002</v>
      </c>
      <c r="H129" s="34">
        <f t="shared" si="16"/>
        <v>4586.5128959999993</v>
      </c>
      <c r="I129" s="34">
        <f t="shared" si="16"/>
        <v>5717.4767999999995</v>
      </c>
      <c r="J129" s="34">
        <f t="shared" si="16"/>
        <v>5717.4767999999995</v>
      </c>
      <c r="K129" s="34">
        <f t="shared" si="16"/>
        <v>5717.4767999999995</v>
      </c>
      <c r="L129" s="34">
        <f t="shared" si="16"/>
        <v>5733.1411199999993</v>
      </c>
      <c r="M129" s="34">
        <f t="shared" si="16"/>
        <v>5717.4767999999995</v>
      </c>
      <c r="N129" s="34">
        <f t="shared" si="16"/>
        <v>5717.4767999999995</v>
      </c>
      <c r="O129" s="34">
        <f t="shared" si="16"/>
        <v>5717.4767999999995</v>
      </c>
      <c r="P129" s="34">
        <f t="shared" si="16"/>
        <v>5733.1411199999993</v>
      </c>
      <c r="Q129" s="34">
        <f t="shared" si="16"/>
        <v>0</v>
      </c>
      <c r="R129" s="34">
        <f t="shared" si="16"/>
        <v>0</v>
      </c>
      <c r="S129" s="34">
        <f t="shared" si="16"/>
        <v>0</v>
      </c>
      <c r="T129" s="34">
        <f t="shared" si="16"/>
        <v>0</v>
      </c>
      <c r="U129" s="34">
        <f t="shared" si="16"/>
        <v>0</v>
      </c>
      <c r="V129" s="34">
        <f t="shared" si="15"/>
        <v>52644.64665599999</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1943.6621843358723</v>
      </c>
      <c r="H136" s="34">
        <f t="shared" si="23"/>
        <v>3898.8665574495435</v>
      </c>
      <c r="I136" s="34">
        <f t="shared" si="23"/>
        <v>4860.2673957277439</v>
      </c>
      <c r="J136" s="34">
        <f t="shared" si="23"/>
        <v>4860.2673957277439</v>
      </c>
      <c r="K136" s="34">
        <f t="shared" si="23"/>
        <v>4860.2673957277439</v>
      </c>
      <c r="L136" s="34">
        <f t="shared" si="23"/>
        <v>4873.5831968119282</v>
      </c>
      <c r="M136" s="34">
        <f t="shared" si="23"/>
        <v>4860.2673957277439</v>
      </c>
      <c r="N136" s="34">
        <f t="shared" si="23"/>
        <v>4860.2673957277439</v>
      </c>
      <c r="O136" s="34">
        <f t="shared" si="23"/>
        <v>4860.2673957277439</v>
      </c>
      <c r="P136" s="34">
        <f t="shared" si="23"/>
        <v>4873.5831968119282</v>
      </c>
      <c r="Q136" s="34">
        <f t="shared" si="23"/>
        <v>0</v>
      </c>
      <c r="R136" s="34">
        <f t="shared" si="23"/>
        <v>0</v>
      </c>
      <c r="S136" s="34">
        <f t="shared" si="23"/>
        <v>0</v>
      </c>
      <c r="T136" s="34">
        <f t="shared" si="23"/>
        <v>0</v>
      </c>
      <c r="U136" s="34">
        <f t="shared" si="23"/>
        <v>0</v>
      </c>
      <c r="V136" s="34">
        <f t="shared" si="15"/>
        <v>44751.299509775738</v>
      </c>
      <c r="Y136" s="50" t="s">
        <v>643</v>
      </c>
    </row>
    <row r="137" spans="2:25" ht="22.5">
      <c r="B137" s="25" t="str">
        <f>"Stratum 2: "&amp;IF(H$74="","not used",H$74)</f>
        <v>Stratum 2: Shared dry pits (10 persons per pit) decommissioned; CBS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12000</v>
      </c>
      <c r="H138" s="63">
        <v>24000</v>
      </c>
      <c r="I138" s="63">
        <v>30000</v>
      </c>
      <c r="J138" s="63">
        <v>30000</v>
      </c>
      <c r="K138" s="63">
        <v>30000</v>
      </c>
      <c r="L138" s="63">
        <v>30000</v>
      </c>
      <c r="M138" s="63">
        <v>30000</v>
      </c>
      <c r="N138" s="63">
        <v>30000</v>
      </c>
      <c r="O138" s="63">
        <v>30000</v>
      </c>
      <c r="P138" s="63">
        <v>30000</v>
      </c>
      <c r="Q138" s="63">
        <v>30000</v>
      </c>
      <c r="R138" s="63">
        <v>30000</v>
      </c>
      <c r="S138" s="63">
        <v>30000</v>
      </c>
      <c r="T138" s="63">
        <v>30000</v>
      </c>
      <c r="U138" s="63">
        <v>30000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v>
      </c>
      <c r="H141" s="45">
        <f t="shared" si="25"/>
        <v>1</v>
      </c>
      <c r="I141" s="45">
        <f t="shared" si="25"/>
        <v>1</v>
      </c>
      <c r="J141" s="45">
        <f t="shared" si="25"/>
        <v>1</v>
      </c>
      <c r="K141" s="45">
        <f t="shared" si="25"/>
        <v>1</v>
      </c>
      <c r="L141" s="45">
        <f t="shared" si="25"/>
        <v>1</v>
      </c>
      <c r="M141" s="45">
        <f t="shared" si="25"/>
        <v>1</v>
      </c>
      <c r="N141" s="45">
        <f t="shared" si="25"/>
        <v>1</v>
      </c>
      <c r="O141" s="45">
        <f t="shared" si="25"/>
        <v>1</v>
      </c>
      <c r="P141" s="45">
        <f t="shared" si="25"/>
        <v>1</v>
      </c>
      <c r="Q141" s="45">
        <f t="shared" si="25"/>
        <v>0</v>
      </c>
      <c r="R141" s="45">
        <f t="shared" si="25"/>
        <v>0</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1361.3040000000001</v>
      </c>
      <c r="H142" s="34">
        <f t="shared" si="26"/>
        <v>2730.0671999999995</v>
      </c>
      <c r="I142" s="34">
        <f t="shared" si="26"/>
        <v>3403.26</v>
      </c>
      <c r="J142" s="34">
        <f t="shared" si="26"/>
        <v>3403.26</v>
      </c>
      <c r="K142" s="34">
        <f t="shared" si="26"/>
        <v>3403.26</v>
      </c>
      <c r="L142" s="34">
        <f t="shared" si="26"/>
        <v>3412.5839999999998</v>
      </c>
      <c r="M142" s="34">
        <f t="shared" si="26"/>
        <v>3403.26</v>
      </c>
      <c r="N142" s="34">
        <f t="shared" si="26"/>
        <v>3403.26</v>
      </c>
      <c r="O142" s="34">
        <f t="shared" si="26"/>
        <v>3403.26</v>
      </c>
      <c r="P142" s="34">
        <f t="shared" si="26"/>
        <v>3412.5839999999998</v>
      </c>
      <c r="Q142" s="34">
        <f t="shared" si="26"/>
        <v>0</v>
      </c>
      <c r="R142" s="34">
        <f t="shared" si="26"/>
        <v>0</v>
      </c>
      <c r="S142" s="34">
        <f t="shared" si="26"/>
        <v>0</v>
      </c>
      <c r="T142" s="34">
        <f t="shared" si="26"/>
        <v>0</v>
      </c>
      <c r="U142" s="34">
        <f t="shared" si="26"/>
        <v>0</v>
      </c>
      <c r="V142" s="34">
        <f t="shared" ref="V142:V150" si="27">SUMPRODUCT($G$117:$U$117,G142:U142)</f>
        <v>31336.099200000001</v>
      </c>
    </row>
    <row r="143" spans="2:25">
      <c r="B143" s="27" t="s">
        <v>628</v>
      </c>
      <c r="C143" s="33" t="s">
        <v>629</v>
      </c>
      <c r="D143" s="33" t="s">
        <v>359</v>
      </c>
      <c r="E143" s="33" t="s">
        <v>129</v>
      </c>
      <c r="F143" s="33"/>
      <c r="G143" s="34">
        <f t="shared" ref="G143:U143" si="28">IF($H$75="",0,G142*$H$83)</f>
        <v>939.29975999999999</v>
      </c>
      <c r="H143" s="34">
        <f t="shared" si="28"/>
        <v>1883.7463679999996</v>
      </c>
      <c r="I143" s="34">
        <f t="shared" si="28"/>
        <v>2348.2494000000002</v>
      </c>
      <c r="J143" s="34">
        <f t="shared" si="28"/>
        <v>2348.2494000000002</v>
      </c>
      <c r="K143" s="34">
        <f t="shared" si="28"/>
        <v>2348.2494000000002</v>
      </c>
      <c r="L143" s="34">
        <f t="shared" si="28"/>
        <v>2354.6829599999996</v>
      </c>
      <c r="M143" s="34">
        <f t="shared" si="28"/>
        <v>2348.2494000000002</v>
      </c>
      <c r="N143" s="34">
        <f t="shared" si="28"/>
        <v>2348.2494000000002</v>
      </c>
      <c r="O143" s="34">
        <f t="shared" si="28"/>
        <v>2348.2494000000002</v>
      </c>
      <c r="P143" s="34">
        <f t="shared" si="28"/>
        <v>2354.6829599999996</v>
      </c>
      <c r="Q143" s="34">
        <f t="shared" si="28"/>
        <v>0</v>
      </c>
      <c r="R143" s="34">
        <f t="shared" si="28"/>
        <v>0</v>
      </c>
      <c r="S143" s="34">
        <f t="shared" si="28"/>
        <v>0</v>
      </c>
      <c r="T143" s="34">
        <f t="shared" si="28"/>
        <v>0</v>
      </c>
      <c r="U143" s="34">
        <f t="shared" si="28"/>
        <v>0</v>
      </c>
      <c r="V143" s="34">
        <f t="shared" si="27"/>
        <v>21621.908447999998</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798.28982570937603</v>
      </c>
      <c r="H150" s="34">
        <f t="shared" si="35"/>
        <v>1601.3201932382051</v>
      </c>
      <c r="I150" s="34">
        <f t="shared" si="35"/>
        <v>1996.1812518167524</v>
      </c>
      <c r="J150" s="34">
        <f t="shared" si="35"/>
        <v>1996.1812518167524</v>
      </c>
      <c r="K150" s="34">
        <f t="shared" si="35"/>
        <v>1996.1812518167524</v>
      </c>
      <c r="L150" s="34">
        <f t="shared" si="35"/>
        <v>2001.6502415477562</v>
      </c>
      <c r="M150" s="34">
        <f t="shared" si="35"/>
        <v>1996.1812518167524</v>
      </c>
      <c r="N150" s="34">
        <f t="shared" si="35"/>
        <v>1996.1812518167524</v>
      </c>
      <c r="O150" s="34">
        <f t="shared" si="35"/>
        <v>1996.1812518167524</v>
      </c>
      <c r="P150" s="34">
        <f t="shared" si="35"/>
        <v>2001.6502415477562</v>
      </c>
      <c r="Q150" s="34">
        <f t="shared" si="35"/>
        <v>0</v>
      </c>
      <c r="R150" s="34">
        <f t="shared" si="35"/>
        <v>0</v>
      </c>
      <c r="S150" s="34">
        <f t="shared" si="35"/>
        <v>0</v>
      </c>
      <c r="T150" s="34">
        <f t="shared" si="35"/>
        <v>0</v>
      </c>
      <c r="U150" s="34">
        <f t="shared" si="35"/>
        <v>0</v>
      </c>
      <c r="V150" s="34">
        <f t="shared" si="27"/>
        <v>18379.998012943608</v>
      </c>
    </row>
    <row r="151" spans="2:25" ht="22.5">
      <c r="B151" s="25" t="str">
        <f>"Stratum 3: "&amp;IF(I$74="","not used",I$74)</f>
        <v>Stratum 3: Wet pit latrines remaining in use, emptied by the activity</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15000</v>
      </c>
      <c r="H152" s="63">
        <v>15000</v>
      </c>
      <c r="I152" s="63">
        <v>15000</v>
      </c>
      <c r="J152" s="63">
        <v>15000</v>
      </c>
      <c r="K152" s="63">
        <v>15000</v>
      </c>
      <c r="L152" s="63">
        <v>15000</v>
      </c>
      <c r="M152" s="63">
        <v>15000</v>
      </c>
      <c r="N152" s="63">
        <v>15000</v>
      </c>
      <c r="O152" s="63">
        <v>15000</v>
      </c>
      <c r="P152" s="63">
        <v>15000</v>
      </c>
      <c r="Q152" s="63">
        <v>15000</v>
      </c>
      <c r="R152" s="63">
        <v>15000</v>
      </c>
      <c r="S152" s="63">
        <v>15000</v>
      </c>
      <c r="T152" s="63">
        <v>15000</v>
      </c>
      <c r="U152" s="63">
        <v>15000</v>
      </c>
      <c r="V152" s="33"/>
    </row>
    <row r="153" spans="2:25" ht="21">
      <c r="B153" s="27" t="s">
        <v>617</v>
      </c>
      <c r="C153" s="33" t="s">
        <v>618</v>
      </c>
      <c r="D153" s="33" t="s">
        <v>619</v>
      </c>
      <c r="E153" s="33" t="s">
        <v>255</v>
      </c>
      <c r="F153" s="33"/>
      <c r="G153" s="68">
        <v>2250</v>
      </c>
      <c r="H153" s="68">
        <v>2250</v>
      </c>
      <c r="I153" s="68">
        <v>2250</v>
      </c>
      <c r="J153" s="68">
        <v>2250</v>
      </c>
      <c r="K153" s="68">
        <v>2250</v>
      </c>
      <c r="L153" s="68">
        <v>2250</v>
      </c>
      <c r="M153" s="68">
        <v>2250</v>
      </c>
      <c r="N153" s="68">
        <v>2250</v>
      </c>
      <c r="O153" s="68">
        <v>2250</v>
      </c>
      <c r="P153" s="68">
        <v>2250</v>
      </c>
      <c r="Q153" s="68">
        <v>2250</v>
      </c>
      <c r="R153" s="68">
        <v>2250</v>
      </c>
      <c r="S153" s="68">
        <v>2250</v>
      </c>
      <c r="T153" s="68">
        <v>2250</v>
      </c>
      <c r="U153" s="68">
        <v>2250</v>
      </c>
      <c r="V153" s="43">
        <f>SUMPRODUCT($G$117:$U$117,G153:U153)</f>
        <v>22500</v>
      </c>
      <c r="Y153" s="50" t="s">
        <v>745</v>
      </c>
    </row>
    <row r="154" spans="2:25">
      <c r="B154" s="27" t="s">
        <v>621</v>
      </c>
      <c r="C154" s="33" t="s">
        <v>622</v>
      </c>
      <c r="D154" s="33" t="s">
        <v>619</v>
      </c>
      <c r="E154" s="33" t="s">
        <v>168</v>
      </c>
      <c r="F154" s="33"/>
      <c r="G154" s="68">
        <v>2250</v>
      </c>
      <c r="H154" s="68">
        <v>2250</v>
      </c>
      <c r="I154" s="68">
        <v>2250</v>
      </c>
      <c r="J154" s="68">
        <v>2250</v>
      </c>
      <c r="K154" s="68">
        <v>2250</v>
      </c>
      <c r="L154" s="68">
        <v>2250</v>
      </c>
      <c r="M154" s="68">
        <v>2250</v>
      </c>
      <c r="N154" s="68">
        <v>2250</v>
      </c>
      <c r="O154" s="68">
        <v>2250</v>
      </c>
      <c r="P154" s="68">
        <v>2250</v>
      </c>
      <c r="Q154" s="68">
        <v>2250</v>
      </c>
      <c r="R154" s="68">
        <v>2250</v>
      </c>
      <c r="S154" s="68">
        <v>2250</v>
      </c>
      <c r="T154" s="68">
        <v>2250</v>
      </c>
      <c r="U154" s="68">
        <v>2250</v>
      </c>
      <c r="V154" s="43">
        <f>SUMPRODUCT($G$117:$U$117,G154:U154)</f>
        <v>22500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1.9992595335061088E-2</v>
      </c>
      <c r="H155" s="45">
        <f t="shared" si="37"/>
        <v>1.9937970757642889E-2</v>
      </c>
      <c r="I155" s="45">
        <f t="shared" si="37"/>
        <v>1.9992595335061088E-2</v>
      </c>
      <c r="J155" s="45">
        <f t="shared" si="37"/>
        <v>1.9992595335061088E-2</v>
      </c>
      <c r="K155" s="45">
        <f t="shared" si="37"/>
        <v>1.9992595335061088E-2</v>
      </c>
      <c r="L155" s="45">
        <f t="shared" si="37"/>
        <v>1.9937970757642889E-2</v>
      </c>
      <c r="M155" s="45">
        <f t="shared" si="37"/>
        <v>1.9992595335061088E-2</v>
      </c>
      <c r="N155" s="45">
        <f t="shared" si="37"/>
        <v>1.9992595335061088E-2</v>
      </c>
      <c r="O155" s="45">
        <f t="shared" si="37"/>
        <v>1.9992595335061088E-2</v>
      </c>
      <c r="P155" s="45">
        <f t="shared" si="37"/>
        <v>1.9937970757642889E-2</v>
      </c>
      <c r="Q155" s="45">
        <f t="shared" si="37"/>
        <v>0</v>
      </c>
      <c r="R155" s="45">
        <f t="shared" si="37"/>
        <v>0</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47.628</v>
      </c>
      <c r="H156" s="34">
        <f t="shared" si="38"/>
        <v>47.627999999999993</v>
      </c>
      <c r="I156" s="34">
        <f t="shared" si="38"/>
        <v>47.628</v>
      </c>
      <c r="J156" s="34">
        <f t="shared" si="38"/>
        <v>47.628</v>
      </c>
      <c r="K156" s="34">
        <f t="shared" si="38"/>
        <v>47.628</v>
      </c>
      <c r="L156" s="34">
        <f t="shared" si="38"/>
        <v>47.627999999999993</v>
      </c>
      <c r="M156" s="34">
        <f t="shared" si="38"/>
        <v>47.628</v>
      </c>
      <c r="N156" s="34">
        <f t="shared" si="38"/>
        <v>47.628</v>
      </c>
      <c r="O156" s="34">
        <f t="shared" si="38"/>
        <v>47.628</v>
      </c>
      <c r="P156" s="34">
        <f t="shared" si="38"/>
        <v>47.627999999999993</v>
      </c>
      <c r="Q156" s="34">
        <f t="shared" si="38"/>
        <v>0</v>
      </c>
      <c r="R156" s="34">
        <f t="shared" si="38"/>
        <v>0</v>
      </c>
      <c r="S156" s="34">
        <f t="shared" si="38"/>
        <v>0</v>
      </c>
      <c r="T156" s="34">
        <f t="shared" si="38"/>
        <v>0</v>
      </c>
      <c r="U156" s="34">
        <f t="shared" si="38"/>
        <v>0</v>
      </c>
      <c r="V156" s="34">
        <f t="shared" ref="V156:V164" si="39">SUMPRODUCT($G$117:$U$117,G156:U156)</f>
        <v>476.27999999999992</v>
      </c>
    </row>
    <row r="157" spans="2:25">
      <c r="B157" s="27" t="s">
        <v>628</v>
      </c>
      <c r="C157" s="33" t="s">
        <v>629</v>
      </c>
      <c r="D157" s="33" t="s">
        <v>359</v>
      </c>
      <c r="E157" s="33" t="s">
        <v>129</v>
      </c>
      <c r="F157" s="33"/>
      <c r="G157" s="34">
        <f t="shared" ref="G157:U157" si="40">IF($I$75="",0,G156*$I$83)</f>
        <v>34.292159999999996</v>
      </c>
      <c r="H157" s="34">
        <f t="shared" si="40"/>
        <v>34.292159999999996</v>
      </c>
      <c r="I157" s="34">
        <f t="shared" si="40"/>
        <v>34.292159999999996</v>
      </c>
      <c r="J157" s="34">
        <f t="shared" si="40"/>
        <v>34.292159999999996</v>
      </c>
      <c r="K157" s="34">
        <f t="shared" si="40"/>
        <v>34.292159999999996</v>
      </c>
      <c r="L157" s="34">
        <f t="shared" si="40"/>
        <v>34.292159999999996</v>
      </c>
      <c r="M157" s="34">
        <f t="shared" si="40"/>
        <v>34.292159999999996</v>
      </c>
      <c r="N157" s="34">
        <f t="shared" si="40"/>
        <v>34.292159999999996</v>
      </c>
      <c r="O157" s="34">
        <f t="shared" si="40"/>
        <v>34.292159999999996</v>
      </c>
      <c r="P157" s="34">
        <f t="shared" si="40"/>
        <v>34.292159999999996</v>
      </c>
      <c r="Q157" s="34">
        <f t="shared" si="40"/>
        <v>0</v>
      </c>
      <c r="R157" s="34">
        <f t="shared" si="40"/>
        <v>0</v>
      </c>
      <c r="S157" s="34">
        <f t="shared" si="40"/>
        <v>0</v>
      </c>
      <c r="T157" s="34">
        <f t="shared" si="40"/>
        <v>0</v>
      </c>
      <c r="U157" s="34">
        <f t="shared" si="40"/>
        <v>0</v>
      </c>
      <c r="V157" s="34">
        <f t="shared" si="39"/>
        <v>342.9215999999999</v>
      </c>
    </row>
    <row r="158" spans="2:25" ht="21">
      <c r="B158" s="27" t="s">
        <v>630</v>
      </c>
      <c r="C158" s="33" t="s">
        <v>631</v>
      </c>
      <c r="D158" s="33" t="s">
        <v>359</v>
      </c>
      <c r="E158" s="33" t="s">
        <v>632</v>
      </c>
      <c r="F158" s="33"/>
      <c r="G158" s="34">
        <f t="shared" ref="G158:U158" si="41">IF(OR($I$88="FST",$I$88="WW"),N(G152)*G$120*$F$22*$F$25*$I$90*G155*$F$30/1000,0)</f>
        <v>13.608000000000001</v>
      </c>
      <c r="H158" s="34">
        <f t="shared" si="41"/>
        <v>13.608000000000002</v>
      </c>
      <c r="I158" s="34">
        <f t="shared" si="41"/>
        <v>13.608000000000001</v>
      </c>
      <c r="J158" s="34">
        <f t="shared" si="41"/>
        <v>13.608000000000001</v>
      </c>
      <c r="K158" s="34">
        <f t="shared" si="41"/>
        <v>13.608000000000001</v>
      </c>
      <c r="L158" s="34">
        <f t="shared" si="41"/>
        <v>13.608000000000002</v>
      </c>
      <c r="M158" s="34">
        <f t="shared" si="41"/>
        <v>13.608000000000001</v>
      </c>
      <c r="N158" s="34">
        <f t="shared" si="41"/>
        <v>13.608000000000001</v>
      </c>
      <c r="O158" s="34">
        <f t="shared" si="41"/>
        <v>13.608000000000001</v>
      </c>
      <c r="P158" s="34">
        <f t="shared" si="41"/>
        <v>13.608000000000002</v>
      </c>
      <c r="Q158" s="34">
        <f t="shared" si="41"/>
        <v>0</v>
      </c>
      <c r="R158" s="34">
        <f t="shared" si="41"/>
        <v>0</v>
      </c>
      <c r="S158" s="34">
        <f t="shared" si="41"/>
        <v>0</v>
      </c>
      <c r="T158" s="34">
        <f t="shared" si="41"/>
        <v>0</v>
      </c>
      <c r="U158" s="34">
        <f t="shared" si="41"/>
        <v>0</v>
      </c>
      <c r="V158" s="34">
        <f t="shared" si="39"/>
        <v>136.08000000000001</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7.927921223166023</v>
      </c>
      <c r="H160" s="34">
        <f t="shared" si="43"/>
        <v>7.927921223166023</v>
      </c>
      <c r="I160" s="34">
        <f t="shared" si="43"/>
        <v>7.927921223166023</v>
      </c>
      <c r="J160" s="34">
        <f t="shared" si="43"/>
        <v>7.927921223166023</v>
      </c>
      <c r="K160" s="34">
        <f t="shared" si="43"/>
        <v>7.927921223166023</v>
      </c>
      <c r="L160" s="34">
        <f t="shared" si="43"/>
        <v>7.927921223166023</v>
      </c>
      <c r="M160" s="34">
        <f t="shared" si="43"/>
        <v>7.927921223166023</v>
      </c>
      <c r="N160" s="34">
        <f t="shared" si="43"/>
        <v>7.927921223166023</v>
      </c>
      <c r="O160" s="34">
        <f t="shared" si="43"/>
        <v>7.927921223166023</v>
      </c>
      <c r="P160" s="34">
        <f t="shared" si="43"/>
        <v>7.927921223166023</v>
      </c>
      <c r="Q160" s="34">
        <f t="shared" si="43"/>
        <v>0</v>
      </c>
      <c r="R160" s="34">
        <f t="shared" si="43"/>
        <v>0</v>
      </c>
      <c r="S160" s="34">
        <f t="shared" si="43"/>
        <v>0</v>
      </c>
      <c r="T160" s="34">
        <f t="shared" si="43"/>
        <v>0</v>
      </c>
      <c r="U160" s="34">
        <f t="shared" si="43"/>
        <v>0</v>
      </c>
      <c r="V160" s="34">
        <f t="shared" si="39"/>
        <v>79.279212231660225</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7.6082174164499747</v>
      </c>
      <c r="H164" s="34">
        <f t="shared" si="47"/>
        <v>7.6148865557267733</v>
      </c>
      <c r="I164" s="34">
        <f t="shared" si="47"/>
        <v>7.6148865557267733</v>
      </c>
      <c r="J164" s="34">
        <f t="shared" si="47"/>
        <v>7.6148865557267733</v>
      </c>
      <c r="K164" s="34">
        <f t="shared" si="47"/>
        <v>7.6148865557267733</v>
      </c>
      <c r="L164" s="34">
        <f t="shared" si="47"/>
        <v>7.6148865557267733</v>
      </c>
      <c r="M164" s="34">
        <f t="shared" si="47"/>
        <v>7.6148865557267733</v>
      </c>
      <c r="N164" s="34">
        <f t="shared" si="47"/>
        <v>7.6148865557267733</v>
      </c>
      <c r="O164" s="34">
        <f t="shared" si="47"/>
        <v>7.6148865557267733</v>
      </c>
      <c r="P164" s="34">
        <f t="shared" si="47"/>
        <v>7.6148865557267733</v>
      </c>
      <c r="Q164" s="34">
        <f t="shared" si="47"/>
        <v>0</v>
      </c>
      <c r="R164" s="34">
        <f t="shared" si="47"/>
        <v>0</v>
      </c>
      <c r="S164" s="34">
        <f t="shared" si="47"/>
        <v>0</v>
      </c>
      <c r="T164" s="34">
        <f t="shared" si="47"/>
        <v>0</v>
      </c>
      <c r="U164" s="34">
        <f t="shared" si="47"/>
        <v>0</v>
      </c>
      <c r="V164" s="34">
        <f t="shared" si="39"/>
        <v>76.142196417990917</v>
      </c>
    </row>
    <row r="165" spans="2:25" ht="22.5">
      <c r="B165" s="25" t="str">
        <f>"Stratum 4: "&amp;IF(J$74="","not used",J$74)</f>
        <v>Stratum 4: Household dry pits remaining in use, emptied by the activity</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v>5000</v>
      </c>
      <c r="H166" s="63">
        <v>5000</v>
      </c>
      <c r="I166" s="63">
        <v>5000</v>
      </c>
      <c r="J166" s="63">
        <v>5000</v>
      </c>
      <c r="K166" s="63">
        <v>5000</v>
      </c>
      <c r="L166" s="63">
        <v>5000</v>
      </c>
      <c r="M166" s="63">
        <v>5000</v>
      </c>
      <c r="N166" s="63">
        <v>5000</v>
      </c>
      <c r="O166" s="63">
        <v>5000</v>
      </c>
      <c r="P166" s="63">
        <v>5000</v>
      </c>
      <c r="Q166" s="63">
        <v>5000</v>
      </c>
      <c r="R166" s="63">
        <v>5000</v>
      </c>
      <c r="S166" s="63">
        <v>5000</v>
      </c>
      <c r="T166" s="63">
        <v>5000</v>
      </c>
      <c r="U166" s="63">
        <v>5000</v>
      </c>
      <c r="V166" s="33"/>
    </row>
    <row r="167" spans="2:25" ht="21">
      <c r="B167" s="27" t="s">
        <v>617</v>
      </c>
      <c r="C167" s="33" t="s">
        <v>618</v>
      </c>
      <c r="D167" s="33" t="s">
        <v>619</v>
      </c>
      <c r="E167" s="33" t="s">
        <v>255</v>
      </c>
      <c r="F167" s="33"/>
      <c r="G167" s="68">
        <v>400</v>
      </c>
      <c r="H167" s="68">
        <v>400</v>
      </c>
      <c r="I167" s="68">
        <v>400</v>
      </c>
      <c r="J167" s="68">
        <v>400</v>
      </c>
      <c r="K167" s="68">
        <v>400</v>
      </c>
      <c r="L167" s="68">
        <v>400</v>
      </c>
      <c r="M167" s="68">
        <v>400</v>
      </c>
      <c r="N167" s="68">
        <v>400</v>
      </c>
      <c r="O167" s="68">
        <v>400</v>
      </c>
      <c r="P167" s="68">
        <v>400</v>
      </c>
      <c r="Q167" s="68">
        <v>400</v>
      </c>
      <c r="R167" s="68">
        <v>400</v>
      </c>
      <c r="S167" s="68">
        <v>400</v>
      </c>
      <c r="T167" s="68">
        <v>400</v>
      </c>
      <c r="U167" s="68">
        <v>400</v>
      </c>
      <c r="V167" s="43">
        <f>SUMPRODUCT($G$117:$U$117,G167:U167)</f>
        <v>4000</v>
      </c>
      <c r="Y167" s="50" t="s">
        <v>745</v>
      </c>
    </row>
    <row r="168" spans="2:25">
      <c r="B168" s="27" t="s">
        <v>621</v>
      </c>
      <c r="C168" s="33" t="s">
        <v>622</v>
      </c>
      <c r="D168" s="33" t="s">
        <v>619</v>
      </c>
      <c r="E168" s="33" t="s">
        <v>168</v>
      </c>
      <c r="F168" s="33"/>
      <c r="G168" s="68">
        <v>400</v>
      </c>
      <c r="H168" s="68">
        <v>400</v>
      </c>
      <c r="I168" s="68">
        <v>400</v>
      </c>
      <c r="J168" s="68">
        <v>400</v>
      </c>
      <c r="K168" s="68">
        <v>400</v>
      </c>
      <c r="L168" s="68">
        <v>400</v>
      </c>
      <c r="M168" s="68">
        <v>400</v>
      </c>
      <c r="N168" s="68">
        <v>400</v>
      </c>
      <c r="O168" s="68">
        <v>400</v>
      </c>
      <c r="P168" s="68">
        <v>400</v>
      </c>
      <c r="Q168" s="68">
        <v>400</v>
      </c>
      <c r="R168" s="68">
        <v>400</v>
      </c>
      <c r="S168" s="68">
        <v>400</v>
      </c>
      <c r="T168" s="68">
        <v>400</v>
      </c>
      <c r="U168" s="68">
        <v>400</v>
      </c>
      <c r="V168" s="43">
        <f>SUMPRODUCT($G$117:$U$117,G168:U168)</f>
        <v>4000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1.066271751203258E-2</v>
      </c>
      <c r="H169" s="45">
        <f t="shared" si="49"/>
        <v>1.0633584404076208E-2</v>
      </c>
      <c r="I169" s="45">
        <f t="shared" si="49"/>
        <v>1.066271751203258E-2</v>
      </c>
      <c r="J169" s="45">
        <f t="shared" si="49"/>
        <v>1.066271751203258E-2</v>
      </c>
      <c r="K169" s="45">
        <f t="shared" si="49"/>
        <v>1.066271751203258E-2</v>
      </c>
      <c r="L169" s="45">
        <f t="shared" si="49"/>
        <v>1.0633584404076208E-2</v>
      </c>
      <c r="M169" s="45">
        <f t="shared" si="49"/>
        <v>1.066271751203258E-2</v>
      </c>
      <c r="N169" s="45">
        <f t="shared" si="49"/>
        <v>1.066271751203258E-2</v>
      </c>
      <c r="O169" s="45">
        <f t="shared" si="49"/>
        <v>1.066271751203258E-2</v>
      </c>
      <c r="P169" s="45">
        <f t="shared" si="49"/>
        <v>1.0633584404076208E-2</v>
      </c>
      <c r="Q169" s="45">
        <f t="shared" si="49"/>
        <v>0</v>
      </c>
      <c r="R169" s="45">
        <f t="shared" si="49"/>
        <v>0</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1.2096</v>
      </c>
      <c r="H170" s="34">
        <f t="shared" si="50"/>
        <v>1.2096000000000005</v>
      </c>
      <c r="I170" s="34">
        <f t="shared" si="50"/>
        <v>1.2096</v>
      </c>
      <c r="J170" s="34">
        <f t="shared" si="50"/>
        <v>1.2096</v>
      </c>
      <c r="K170" s="34">
        <f t="shared" si="50"/>
        <v>1.2096</v>
      </c>
      <c r="L170" s="34">
        <f t="shared" si="50"/>
        <v>1.2096000000000005</v>
      </c>
      <c r="M170" s="34">
        <f t="shared" si="50"/>
        <v>1.2096</v>
      </c>
      <c r="N170" s="34">
        <f t="shared" si="50"/>
        <v>1.2096</v>
      </c>
      <c r="O170" s="34">
        <f t="shared" si="50"/>
        <v>1.2096</v>
      </c>
      <c r="P170" s="34">
        <f t="shared" si="50"/>
        <v>1.2096000000000005</v>
      </c>
      <c r="Q170" s="34">
        <f t="shared" si="50"/>
        <v>0</v>
      </c>
      <c r="R170" s="34">
        <f t="shared" si="50"/>
        <v>0</v>
      </c>
      <c r="S170" s="34">
        <f t="shared" si="50"/>
        <v>0</v>
      </c>
      <c r="T170" s="34">
        <f t="shared" si="50"/>
        <v>0</v>
      </c>
      <c r="U170" s="34">
        <f t="shared" si="50"/>
        <v>0</v>
      </c>
      <c r="V170" s="34">
        <f t="shared" ref="V170:V178" si="51">SUMPRODUCT($G$117:$U$117,G170:U170)</f>
        <v>12.096</v>
      </c>
    </row>
    <row r="171" spans="2:25">
      <c r="B171" s="27" t="s">
        <v>628</v>
      </c>
      <c r="C171" s="33" t="s">
        <v>629</v>
      </c>
      <c r="D171" s="33" t="s">
        <v>359</v>
      </c>
      <c r="E171" s="33" t="s">
        <v>129</v>
      </c>
      <c r="F171" s="33"/>
      <c r="G171" s="34">
        <f t="shared" ref="G171:U171" si="52">IF($J$75="",0,G170*$J$83)</f>
        <v>0.68947199999999997</v>
      </c>
      <c r="H171" s="34">
        <f t="shared" si="52"/>
        <v>0.6894720000000002</v>
      </c>
      <c r="I171" s="34">
        <f t="shared" si="52"/>
        <v>0.68947199999999997</v>
      </c>
      <c r="J171" s="34">
        <f t="shared" si="52"/>
        <v>0.68947199999999997</v>
      </c>
      <c r="K171" s="34">
        <f t="shared" si="52"/>
        <v>0.68947199999999997</v>
      </c>
      <c r="L171" s="34">
        <f t="shared" si="52"/>
        <v>0.6894720000000002</v>
      </c>
      <c r="M171" s="34">
        <f t="shared" si="52"/>
        <v>0.68947199999999997</v>
      </c>
      <c r="N171" s="34">
        <f t="shared" si="52"/>
        <v>0.68947199999999997</v>
      </c>
      <c r="O171" s="34">
        <f t="shared" si="52"/>
        <v>0.68947199999999997</v>
      </c>
      <c r="P171" s="34">
        <f t="shared" si="52"/>
        <v>0.6894720000000002</v>
      </c>
      <c r="Q171" s="34">
        <f t="shared" si="52"/>
        <v>0</v>
      </c>
      <c r="R171" s="34">
        <f t="shared" si="52"/>
        <v>0</v>
      </c>
      <c r="S171" s="34">
        <f t="shared" si="52"/>
        <v>0</v>
      </c>
      <c r="T171" s="34">
        <f t="shared" si="52"/>
        <v>0</v>
      </c>
      <c r="U171" s="34">
        <f t="shared" si="52"/>
        <v>0</v>
      </c>
      <c r="V171" s="34">
        <f t="shared" si="51"/>
        <v>6.8947200000000013</v>
      </c>
    </row>
    <row r="172" spans="2:25" ht="21">
      <c r="B172" s="27" t="s">
        <v>630</v>
      </c>
      <c r="C172" s="33" t="s">
        <v>631</v>
      </c>
      <c r="D172" s="33" t="s">
        <v>359</v>
      </c>
      <c r="E172" s="33" t="s">
        <v>632</v>
      </c>
      <c r="F172" s="33"/>
      <c r="G172" s="34">
        <f t="shared" ref="G172:U172" si="53">IF(OR($J$88="FST",$J$88="WW"),N(G166)*G$120*$F$22*$F$25*$J$90*G169*$F$30/1000,0)</f>
        <v>2.4192</v>
      </c>
      <c r="H172" s="34">
        <f t="shared" si="53"/>
        <v>2.4192000000000009</v>
      </c>
      <c r="I172" s="34">
        <f t="shared" si="53"/>
        <v>2.4192</v>
      </c>
      <c r="J172" s="34">
        <f t="shared" si="53"/>
        <v>2.4192</v>
      </c>
      <c r="K172" s="34">
        <f t="shared" si="53"/>
        <v>2.4192</v>
      </c>
      <c r="L172" s="34">
        <f t="shared" si="53"/>
        <v>2.4192000000000009</v>
      </c>
      <c r="M172" s="34">
        <f t="shared" si="53"/>
        <v>2.4192</v>
      </c>
      <c r="N172" s="34">
        <f t="shared" si="53"/>
        <v>2.4192</v>
      </c>
      <c r="O172" s="34">
        <f t="shared" si="53"/>
        <v>2.4192</v>
      </c>
      <c r="P172" s="34">
        <f t="shared" si="53"/>
        <v>2.4192000000000009</v>
      </c>
      <c r="Q172" s="34">
        <f t="shared" si="53"/>
        <v>0</v>
      </c>
      <c r="R172" s="34">
        <f t="shared" si="53"/>
        <v>0</v>
      </c>
      <c r="S172" s="34">
        <f t="shared" si="53"/>
        <v>0</v>
      </c>
      <c r="T172" s="34">
        <f t="shared" si="53"/>
        <v>0</v>
      </c>
      <c r="U172" s="34">
        <f t="shared" si="53"/>
        <v>0</v>
      </c>
      <c r="V172" s="34">
        <f t="shared" si="51"/>
        <v>24.192</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1.4094082174517373</v>
      </c>
      <c r="H174" s="34">
        <f t="shared" si="55"/>
        <v>1.4094082174517373</v>
      </c>
      <c r="I174" s="34">
        <f t="shared" si="55"/>
        <v>1.4094082174517373</v>
      </c>
      <c r="J174" s="34">
        <f t="shared" si="55"/>
        <v>1.4094082174517373</v>
      </c>
      <c r="K174" s="34">
        <f t="shared" si="55"/>
        <v>1.4094082174517373</v>
      </c>
      <c r="L174" s="34">
        <f t="shared" si="55"/>
        <v>1.4094082174517373</v>
      </c>
      <c r="M174" s="34">
        <f t="shared" si="55"/>
        <v>1.4094082174517373</v>
      </c>
      <c r="N174" s="34">
        <f t="shared" si="55"/>
        <v>1.4094082174517373</v>
      </c>
      <c r="O174" s="34">
        <f t="shared" si="55"/>
        <v>1.4094082174517373</v>
      </c>
      <c r="P174" s="34">
        <f t="shared" si="55"/>
        <v>1.4094082174517373</v>
      </c>
      <c r="Q174" s="34">
        <f t="shared" si="55"/>
        <v>0</v>
      </c>
      <c r="R174" s="34">
        <f t="shared" si="55"/>
        <v>0</v>
      </c>
      <c r="S174" s="34">
        <f t="shared" si="55"/>
        <v>0</v>
      </c>
      <c r="T174" s="34">
        <f t="shared" si="55"/>
        <v>0</v>
      </c>
      <c r="U174" s="34">
        <f t="shared" si="55"/>
        <v>0</v>
      </c>
      <c r="V174" s="34">
        <f t="shared" si="51"/>
        <v>14.094082174517373</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-3.2426414088245377</v>
      </c>
      <c r="H178" s="34">
        <f t="shared" si="59"/>
        <v>-3.2425073203099783</v>
      </c>
      <c r="I178" s="34">
        <f t="shared" si="59"/>
        <v>-3.2425073203099775</v>
      </c>
      <c r="J178" s="34">
        <f t="shared" si="59"/>
        <v>-3.2425073203099775</v>
      </c>
      <c r="K178" s="34">
        <f t="shared" si="59"/>
        <v>-3.2425073203099775</v>
      </c>
      <c r="L178" s="34">
        <f t="shared" si="59"/>
        <v>-3.2425073203099783</v>
      </c>
      <c r="M178" s="34">
        <f t="shared" si="59"/>
        <v>-3.2425073203099775</v>
      </c>
      <c r="N178" s="34">
        <f t="shared" si="59"/>
        <v>-3.2425073203099775</v>
      </c>
      <c r="O178" s="34">
        <f t="shared" si="59"/>
        <v>-3.2425073203099775</v>
      </c>
      <c r="P178" s="34">
        <f t="shared" si="59"/>
        <v>-3.2425073203099783</v>
      </c>
      <c r="Q178" s="34">
        <f t="shared" si="59"/>
        <v>0</v>
      </c>
      <c r="R178" s="34">
        <f t="shared" si="59"/>
        <v>0</v>
      </c>
      <c r="S178" s="34">
        <f t="shared" si="59"/>
        <v>0</v>
      </c>
      <c r="T178" s="34">
        <f t="shared" si="59"/>
        <v>0</v>
      </c>
      <c r="U178" s="34">
        <f t="shared" si="59"/>
        <v>0</v>
      </c>
      <c r="V178" s="34">
        <f t="shared" si="51"/>
        <v>-32.425207291614335</v>
      </c>
    </row>
    <row r="179" spans="2:25">
      <c r="B179" s="25" t="str">
        <f>"Stratum 5: "&amp;IF(K$74="","not used",K$74)</f>
        <v>Stratum 5: not used</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c r="H180" s="63"/>
      <c r="I180" s="63"/>
      <c r="J180" s="63"/>
      <c r="K180" s="63"/>
      <c r="L180" s="63"/>
      <c r="M180" s="63"/>
      <c r="N180" s="63"/>
      <c r="O180" s="63"/>
      <c r="P180" s="63"/>
      <c r="Q180" s="63"/>
      <c r="R180" s="63"/>
      <c r="S180" s="63"/>
      <c r="T180" s="63"/>
      <c r="U180" s="63"/>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0</v>
      </c>
      <c r="H183" s="45">
        <f t="shared" si="61"/>
        <v>0</v>
      </c>
      <c r="I183" s="45">
        <f t="shared" si="61"/>
        <v>0</v>
      </c>
      <c r="J183" s="45">
        <f t="shared" si="61"/>
        <v>0</v>
      </c>
      <c r="K183" s="45">
        <f t="shared" si="61"/>
        <v>0</v>
      </c>
      <c r="L183" s="45">
        <f t="shared" si="61"/>
        <v>0</v>
      </c>
      <c r="M183" s="45">
        <f t="shared" si="61"/>
        <v>0</v>
      </c>
      <c r="N183" s="45">
        <f t="shared" si="61"/>
        <v>0</v>
      </c>
      <c r="O183" s="45">
        <f t="shared" si="61"/>
        <v>0</v>
      </c>
      <c r="P183" s="45">
        <f t="shared" si="61"/>
        <v>0</v>
      </c>
      <c r="Q183" s="45">
        <f t="shared" si="61"/>
        <v>0</v>
      </c>
      <c r="R183" s="45">
        <f t="shared" si="61"/>
        <v>0</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0</v>
      </c>
      <c r="H184" s="34">
        <f t="shared" si="62"/>
        <v>0</v>
      </c>
      <c r="I184" s="34">
        <f t="shared" si="62"/>
        <v>0</v>
      </c>
      <c r="J184" s="34">
        <f t="shared" si="62"/>
        <v>0</v>
      </c>
      <c r="K184" s="34">
        <f t="shared" si="62"/>
        <v>0</v>
      </c>
      <c r="L184" s="34">
        <f t="shared" si="62"/>
        <v>0</v>
      </c>
      <c r="M184" s="34">
        <f t="shared" si="62"/>
        <v>0</v>
      </c>
      <c r="N184" s="34">
        <f t="shared" si="62"/>
        <v>0</v>
      </c>
      <c r="O184" s="34">
        <f t="shared" si="62"/>
        <v>0</v>
      </c>
      <c r="P184" s="34">
        <f t="shared" si="62"/>
        <v>0</v>
      </c>
      <c r="Q184" s="34">
        <f t="shared" si="62"/>
        <v>0</v>
      </c>
      <c r="R184" s="34">
        <f t="shared" si="62"/>
        <v>0</v>
      </c>
      <c r="S184" s="34">
        <f t="shared" si="62"/>
        <v>0</v>
      </c>
      <c r="T184" s="34">
        <f t="shared" si="62"/>
        <v>0</v>
      </c>
      <c r="U184" s="34">
        <f t="shared" si="62"/>
        <v>0</v>
      </c>
      <c r="V184" s="34">
        <f t="shared" ref="V184:V192" si="63">SUMPRODUCT($G$117:$U$117,G184:U184)</f>
        <v>0</v>
      </c>
    </row>
    <row r="185" spans="2:25">
      <c r="B185" s="27" t="s">
        <v>628</v>
      </c>
      <c r="C185" s="33" t="s">
        <v>629</v>
      </c>
      <c r="D185" s="33" t="s">
        <v>359</v>
      </c>
      <c r="E185" s="33" t="s">
        <v>129</v>
      </c>
      <c r="F185" s="33"/>
      <c r="G185" s="34">
        <f t="shared" ref="G185:U185" si="64">IF($K$75="",0,G184*$K$83)</f>
        <v>0</v>
      </c>
      <c r="H185" s="34">
        <f t="shared" si="64"/>
        <v>0</v>
      </c>
      <c r="I185" s="34">
        <f t="shared" si="64"/>
        <v>0</v>
      </c>
      <c r="J185" s="34">
        <f t="shared" si="64"/>
        <v>0</v>
      </c>
      <c r="K185" s="34">
        <f t="shared" si="64"/>
        <v>0</v>
      </c>
      <c r="L185" s="34">
        <f t="shared" si="64"/>
        <v>0</v>
      </c>
      <c r="M185" s="34">
        <f t="shared" si="64"/>
        <v>0</v>
      </c>
      <c r="N185" s="34">
        <f t="shared" si="64"/>
        <v>0</v>
      </c>
      <c r="O185" s="34">
        <f t="shared" si="64"/>
        <v>0</v>
      </c>
      <c r="P185" s="34">
        <f t="shared" si="64"/>
        <v>0</v>
      </c>
      <c r="Q185" s="34">
        <f t="shared" si="64"/>
        <v>0</v>
      </c>
      <c r="R185" s="34">
        <f t="shared" si="64"/>
        <v>0</v>
      </c>
      <c r="S185" s="34">
        <f t="shared" si="64"/>
        <v>0</v>
      </c>
      <c r="T185" s="34">
        <f t="shared" si="64"/>
        <v>0</v>
      </c>
      <c r="U185" s="34">
        <f t="shared" si="64"/>
        <v>0</v>
      </c>
      <c r="V185" s="34">
        <f t="shared" si="63"/>
        <v>0</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0</v>
      </c>
      <c r="H192" s="34">
        <f t="shared" si="71"/>
        <v>0</v>
      </c>
      <c r="I192" s="34">
        <f t="shared" si="71"/>
        <v>0</v>
      </c>
      <c r="J192" s="34">
        <f t="shared" si="71"/>
        <v>0</v>
      </c>
      <c r="K192" s="34">
        <f t="shared" si="71"/>
        <v>0</v>
      </c>
      <c r="L192" s="34">
        <f t="shared" si="71"/>
        <v>0</v>
      </c>
      <c r="M192" s="34">
        <f t="shared" si="71"/>
        <v>0</v>
      </c>
      <c r="N192" s="34">
        <f t="shared" si="71"/>
        <v>0</v>
      </c>
      <c r="O192" s="34">
        <f t="shared" si="71"/>
        <v>0</v>
      </c>
      <c r="P192" s="34">
        <f t="shared" si="71"/>
        <v>0</v>
      </c>
      <c r="Q192" s="34">
        <f t="shared" si="71"/>
        <v>0</v>
      </c>
      <c r="R192" s="34">
        <f t="shared" si="71"/>
        <v>0</v>
      </c>
      <c r="S192" s="34">
        <f t="shared" si="71"/>
        <v>0</v>
      </c>
      <c r="T192" s="34">
        <f t="shared" si="71"/>
        <v>0</v>
      </c>
      <c r="U192" s="34">
        <f t="shared" si="71"/>
        <v>0</v>
      </c>
      <c r="V192" s="34">
        <f t="shared" si="63"/>
        <v>0</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4586.5176000000001</v>
      </c>
      <c r="H195" s="34">
        <f t="shared" si="73"/>
        <v>9149.0615999999991</v>
      </c>
      <c r="I195" s="34">
        <f t="shared" si="73"/>
        <v>11393.037600000001</v>
      </c>
      <c r="J195" s="34">
        <f t="shared" si="73"/>
        <v>11393.037600000001</v>
      </c>
      <c r="K195" s="34">
        <f t="shared" si="73"/>
        <v>11393.037600000001</v>
      </c>
      <c r="L195" s="34">
        <f t="shared" si="73"/>
        <v>11424.1176</v>
      </c>
      <c r="M195" s="34">
        <f t="shared" si="73"/>
        <v>11393.037600000001</v>
      </c>
      <c r="N195" s="34">
        <f t="shared" si="73"/>
        <v>11393.037600000001</v>
      </c>
      <c r="O195" s="34">
        <f t="shared" si="73"/>
        <v>11393.037600000001</v>
      </c>
      <c r="P195" s="34">
        <f t="shared" si="73"/>
        <v>11424.1176</v>
      </c>
      <c r="Q195" s="34">
        <f t="shared" si="73"/>
        <v>0</v>
      </c>
      <c r="R195" s="34">
        <f t="shared" si="73"/>
        <v>0</v>
      </c>
      <c r="S195" s="34">
        <f t="shared" si="73"/>
        <v>0</v>
      </c>
      <c r="T195" s="34">
        <f t="shared" si="73"/>
        <v>0</v>
      </c>
      <c r="U195" s="34">
        <f t="shared" si="73"/>
        <v>0</v>
      </c>
      <c r="V195" s="34">
        <f>SUMPRODUCT($G$117:$U$117,G195:U195)</f>
        <v>104942.04</v>
      </c>
    </row>
    <row r="196" spans="2:25">
      <c r="B196" s="27" t="s">
        <v>628</v>
      </c>
      <c r="C196" s="33" t="s">
        <v>646</v>
      </c>
      <c r="D196" s="33" t="s">
        <v>359</v>
      </c>
      <c r="E196" s="33" t="s">
        <v>129</v>
      </c>
      <c r="F196" s="33"/>
      <c r="G196" s="34">
        <f t="shared" ref="G196:U196" si="74">G129+G143+G157+G171+G185</f>
        <v>3261.2721120000001</v>
      </c>
      <c r="H196" s="34">
        <f t="shared" si="74"/>
        <v>6505.2408959999984</v>
      </c>
      <c r="I196" s="34">
        <f t="shared" si="74"/>
        <v>8100.7078319999991</v>
      </c>
      <c r="J196" s="34">
        <f t="shared" si="74"/>
        <v>8100.7078319999991</v>
      </c>
      <c r="K196" s="34">
        <f t="shared" si="74"/>
        <v>8100.7078319999991</v>
      </c>
      <c r="L196" s="34">
        <f t="shared" si="74"/>
        <v>8122.8057119999985</v>
      </c>
      <c r="M196" s="34">
        <f t="shared" si="74"/>
        <v>8100.7078319999991</v>
      </c>
      <c r="N196" s="34">
        <f t="shared" si="74"/>
        <v>8100.7078319999991</v>
      </c>
      <c r="O196" s="34">
        <f t="shared" si="74"/>
        <v>8100.7078319999991</v>
      </c>
      <c r="P196" s="34">
        <f t="shared" si="74"/>
        <v>8122.8057119999985</v>
      </c>
      <c r="Q196" s="34">
        <f t="shared" si="74"/>
        <v>0</v>
      </c>
      <c r="R196" s="34">
        <f t="shared" si="74"/>
        <v>0</v>
      </c>
      <c r="S196" s="34">
        <f t="shared" si="74"/>
        <v>0</v>
      </c>
      <c r="T196" s="34">
        <f t="shared" si="74"/>
        <v>0</v>
      </c>
      <c r="U196" s="34">
        <f t="shared" si="74"/>
        <v>0</v>
      </c>
      <c r="V196" s="34">
        <f>SUMPRODUCT($G$117:$U$117,G196:U196)</f>
        <v>74616.371423999997</v>
      </c>
    </row>
    <row r="197" spans="2:25">
      <c r="B197" s="27" t="s">
        <v>647</v>
      </c>
      <c r="C197" s="33" t="s">
        <v>648</v>
      </c>
      <c r="D197" s="33" t="s">
        <v>359</v>
      </c>
      <c r="E197" s="33" t="s">
        <v>133</v>
      </c>
      <c r="F197" s="33"/>
      <c r="G197" s="34">
        <f t="shared" ref="G197:U197" si="75">G196*(1-G$121)</f>
        <v>3171.2610017088004</v>
      </c>
      <c r="H197" s="34">
        <f t="shared" si="75"/>
        <v>6325.696247270399</v>
      </c>
      <c r="I197" s="34">
        <f t="shared" si="75"/>
        <v>7877.1282958367992</v>
      </c>
      <c r="J197" s="34">
        <f t="shared" si="75"/>
        <v>7877.1282958367992</v>
      </c>
      <c r="K197" s="34">
        <f t="shared" si="75"/>
        <v>7877.1282958367992</v>
      </c>
      <c r="L197" s="34">
        <f t="shared" si="75"/>
        <v>7898.6162743487985</v>
      </c>
      <c r="M197" s="34">
        <f t="shared" si="75"/>
        <v>7877.1282958367992</v>
      </c>
      <c r="N197" s="34">
        <f t="shared" si="75"/>
        <v>7877.1282958367992</v>
      </c>
      <c r="O197" s="34">
        <f t="shared" si="75"/>
        <v>7877.1282958367992</v>
      </c>
      <c r="P197" s="34">
        <f t="shared" si="75"/>
        <v>7898.6162743487985</v>
      </c>
      <c r="Q197" s="34">
        <f t="shared" si="75"/>
        <v>0</v>
      </c>
      <c r="R197" s="34">
        <f t="shared" si="75"/>
        <v>0</v>
      </c>
      <c r="S197" s="34">
        <f t="shared" si="75"/>
        <v>0</v>
      </c>
      <c r="T197" s="34">
        <f t="shared" si="75"/>
        <v>0</v>
      </c>
      <c r="U197" s="34">
        <f t="shared" si="75"/>
        <v>0</v>
      </c>
      <c r="V197" s="34">
        <f>SUMPRODUCT($G$117:$U$117,G197:U197)</f>
        <v>72556.959572697582</v>
      </c>
    </row>
    <row r="198" spans="2:25">
      <c r="B198" s="27" t="s">
        <v>649</v>
      </c>
      <c r="C198" s="33" t="s">
        <v>650</v>
      </c>
      <c r="D198" s="33" t="s">
        <v>359</v>
      </c>
      <c r="E198" s="33" t="s">
        <v>137</v>
      </c>
      <c r="F198" s="33"/>
      <c r="G198" s="34">
        <f t="shared" ref="G198:U198" si="76">G196</f>
        <v>3261.2721120000001</v>
      </c>
      <c r="H198" s="34">
        <f t="shared" si="76"/>
        <v>6505.2408959999984</v>
      </c>
      <c r="I198" s="34">
        <f t="shared" si="76"/>
        <v>8100.7078319999991</v>
      </c>
      <c r="J198" s="34">
        <f t="shared" si="76"/>
        <v>8100.7078319999991</v>
      </c>
      <c r="K198" s="34">
        <f t="shared" si="76"/>
        <v>8100.7078319999991</v>
      </c>
      <c r="L198" s="34">
        <f t="shared" si="76"/>
        <v>8122.8057119999985</v>
      </c>
      <c r="M198" s="34">
        <f t="shared" si="76"/>
        <v>8100.7078319999991</v>
      </c>
      <c r="N198" s="34">
        <f t="shared" si="76"/>
        <v>8100.7078319999991</v>
      </c>
      <c r="O198" s="34">
        <f t="shared" si="76"/>
        <v>8100.7078319999991</v>
      </c>
      <c r="P198" s="34">
        <f t="shared" si="76"/>
        <v>8122.8057119999985</v>
      </c>
      <c r="Q198" s="34">
        <f t="shared" si="76"/>
        <v>0</v>
      </c>
      <c r="R198" s="34">
        <f t="shared" si="76"/>
        <v>0</v>
      </c>
      <c r="S198" s="34">
        <f t="shared" si="76"/>
        <v>0</v>
      </c>
      <c r="T198" s="34">
        <f t="shared" si="76"/>
        <v>0</v>
      </c>
      <c r="U198" s="34">
        <f t="shared" si="76"/>
        <v>0</v>
      </c>
      <c r="V198" s="34">
        <f>SUMPRODUCT($G$117:$U$117,G198:U198)</f>
        <v>74616.371423999997</v>
      </c>
    </row>
    <row r="199" spans="2:25">
      <c r="B199" s="27" t="s">
        <v>651</v>
      </c>
      <c r="C199" s="33" t="s">
        <v>652</v>
      </c>
      <c r="D199" s="33" t="s">
        <v>359</v>
      </c>
      <c r="E199" s="33" t="s">
        <v>140</v>
      </c>
      <c r="F199" s="33"/>
      <c r="G199" s="34">
        <f t="shared" ref="G199:U199" si="77">MIN(G197,G198)</f>
        <v>3171.2610017088004</v>
      </c>
      <c r="H199" s="34">
        <f t="shared" si="77"/>
        <v>6325.696247270399</v>
      </c>
      <c r="I199" s="34">
        <f t="shared" si="77"/>
        <v>7877.1282958367992</v>
      </c>
      <c r="J199" s="34">
        <f t="shared" si="77"/>
        <v>7877.1282958367992</v>
      </c>
      <c r="K199" s="34">
        <f t="shared" si="77"/>
        <v>7877.1282958367992</v>
      </c>
      <c r="L199" s="34">
        <f t="shared" si="77"/>
        <v>7898.6162743487985</v>
      </c>
      <c r="M199" s="34">
        <f t="shared" si="77"/>
        <v>7877.1282958367992</v>
      </c>
      <c r="N199" s="34">
        <f t="shared" si="77"/>
        <v>7877.1282958367992</v>
      </c>
      <c r="O199" s="34">
        <f t="shared" si="77"/>
        <v>7877.1282958367992</v>
      </c>
      <c r="P199" s="34">
        <f t="shared" si="77"/>
        <v>7898.6162743487985</v>
      </c>
      <c r="Q199" s="34">
        <f t="shared" si="77"/>
        <v>0</v>
      </c>
      <c r="R199" s="34">
        <f t="shared" si="77"/>
        <v>0</v>
      </c>
      <c r="S199" s="34">
        <f t="shared" si="77"/>
        <v>0</v>
      </c>
      <c r="T199" s="34">
        <f t="shared" si="77"/>
        <v>0</v>
      </c>
      <c r="U199" s="34">
        <f t="shared" si="77"/>
        <v>0</v>
      </c>
      <c r="V199" s="34">
        <f>SUMPRODUCT($G$117:$U$117,G199:U199)</f>
        <v>72556.959572697582</v>
      </c>
    </row>
    <row r="200" spans="2:25">
      <c r="B200" s="27" t="s">
        <v>221</v>
      </c>
      <c r="C200" s="33" t="s">
        <v>653</v>
      </c>
      <c r="D200" s="33" t="s">
        <v>398</v>
      </c>
      <c r="E200" s="33" t="s">
        <v>220</v>
      </c>
      <c r="F200" s="33"/>
      <c r="G200" s="40">
        <v>0.95</v>
      </c>
      <c r="H200" s="40">
        <v>0.94</v>
      </c>
      <c r="I200" s="40">
        <v>0.94</v>
      </c>
      <c r="J200" s="40">
        <v>0.94</v>
      </c>
      <c r="K200" s="40">
        <v>0.94</v>
      </c>
      <c r="L200" s="40">
        <v>0.94</v>
      </c>
      <c r="M200" s="40">
        <v>0.94</v>
      </c>
      <c r="N200" s="40">
        <v>0.94</v>
      </c>
      <c r="O200" s="40">
        <v>0.94</v>
      </c>
      <c r="P200" s="40">
        <v>0.94</v>
      </c>
      <c r="Q200" s="40">
        <v>0.94</v>
      </c>
      <c r="R200" s="40">
        <v>0.94</v>
      </c>
      <c r="S200" s="40">
        <v>0.94</v>
      </c>
      <c r="T200" s="40">
        <v>0.94</v>
      </c>
      <c r="U200" s="40">
        <v>0.94</v>
      </c>
      <c r="V200" s="33"/>
      <c r="Y200" s="50" t="s">
        <v>654</v>
      </c>
    </row>
    <row r="201" spans="2:25" ht="21">
      <c r="B201" s="27" t="s">
        <v>225</v>
      </c>
      <c r="C201" s="33" t="s">
        <v>655</v>
      </c>
      <c r="D201" s="33" t="s">
        <v>398</v>
      </c>
      <c r="E201" s="33" t="s">
        <v>224</v>
      </c>
      <c r="F201" s="33"/>
      <c r="G201" s="40">
        <v>0.92</v>
      </c>
      <c r="H201" s="40">
        <v>0.93</v>
      </c>
      <c r="I201" s="40">
        <v>0.93</v>
      </c>
      <c r="J201" s="40">
        <v>0.93</v>
      </c>
      <c r="K201" s="40">
        <v>0.93</v>
      </c>
      <c r="L201" s="40">
        <v>0.93</v>
      </c>
      <c r="M201" s="40">
        <v>0.93</v>
      </c>
      <c r="N201" s="40">
        <v>0.93</v>
      </c>
      <c r="O201" s="40">
        <v>0.93</v>
      </c>
      <c r="P201" s="40">
        <v>0.93</v>
      </c>
      <c r="Q201" s="40">
        <v>0.93</v>
      </c>
      <c r="R201" s="40">
        <v>0.93</v>
      </c>
      <c r="S201" s="40">
        <v>0.93</v>
      </c>
      <c r="T201" s="40">
        <v>0.93</v>
      </c>
      <c r="U201" s="40">
        <v>0.93</v>
      </c>
      <c r="V201" s="33"/>
      <c r="Y201" s="50" t="s">
        <v>656</v>
      </c>
    </row>
    <row r="202" spans="2:25">
      <c r="B202" s="30" t="s">
        <v>657</v>
      </c>
      <c r="C202" s="33" t="s">
        <v>658</v>
      </c>
      <c r="D202" s="33" t="s">
        <v>359</v>
      </c>
      <c r="E202" s="33" t="s">
        <v>143</v>
      </c>
      <c r="F202" s="33"/>
      <c r="G202" s="31">
        <f t="shared" ref="G202:U202" si="78">G199*N(G200)*N(G201)</f>
        <v>2771.6821154934919</v>
      </c>
      <c r="H202" s="31">
        <f t="shared" si="78"/>
        <v>5529.9236593637825</v>
      </c>
      <c r="I202" s="31">
        <f t="shared" si="78"/>
        <v>6886.1855562205301</v>
      </c>
      <c r="J202" s="31">
        <f t="shared" si="78"/>
        <v>6886.1855562205301</v>
      </c>
      <c r="K202" s="31">
        <f t="shared" si="78"/>
        <v>6886.1855562205301</v>
      </c>
      <c r="L202" s="31">
        <f t="shared" si="78"/>
        <v>6904.970347035719</v>
      </c>
      <c r="M202" s="31">
        <f t="shared" si="78"/>
        <v>6886.1855562205301</v>
      </c>
      <c r="N202" s="31">
        <f t="shared" si="78"/>
        <v>6886.1855562205301</v>
      </c>
      <c r="O202" s="31">
        <f t="shared" si="78"/>
        <v>6886.1855562205301</v>
      </c>
      <c r="P202" s="31">
        <f t="shared" si="78"/>
        <v>6904.970347035719</v>
      </c>
      <c r="Q202" s="31">
        <f t="shared" si="78"/>
        <v>0</v>
      </c>
      <c r="R202" s="31">
        <f t="shared" si="78"/>
        <v>0</v>
      </c>
      <c r="S202" s="31">
        <f t="shared" si="78"/>
        <v>0</v>
      </c>
      <c r="T202" s="31">
        <f t="shared" si="78"/>
        <v>0</v>
      </c>
      <c r="U202" s="31">
        <f t="shared" si="78"/>
        <v>0</v>
      </c>
      <c r="V202" s="31">
        <f>SUMPRODUCT($G$117:$U$117,G202:U202)</f>
        <v>63428.659806251897</v>
      </c>
    </row>
    <row r="203" spans="2:25" ht="22.5">
      <c r="B203" s="27" t="s">
        <v>659</v>
      </c>
      <c r="C203" s="33" t="s">
        <v>660</v>
      </c>
      <c r="D203" s="33" t="s">
        <v>359</v>
      </c>
      <c r="E203" s="33" t="s">
        <v>146</v>
      </c>
      <c r="F203" s="33"/>
      <c r="G203" s="34">
        <f t="shared" ref="G203:U203" si="79">G198-G199</f>
        <v>90.011110291199657</v>
      </c>
      <c r="H203" s="34">
        <f t="shared" si="79"/>
        <v>179.54464872959943</v>
      </c>
      <c r="I203" s="34">
        <f t="shared" si="79"/>
        <v>223.57953616319992</v>
      </c>
      <c r="J203" s="34">
        <f t="shared" si="79"/>
        <v>223.57953616319992</v>
      </c>
      <c r="K203" s="34">
        <f t="shared" si="79"/>
        <v>223.57953616319992</v>
      </c>
      <c r="L203" s="34">
        <f t="shared" si="79"/>
        <v>224.18943765120002</v>
      </c>
      <c r="M203" s="34">
        <f t="shared" si="79"/>
        <v>223.57953616319992</v>
      </c>
      <c r="N203" s="34">
        <f t="shared" si="79"/>
        <v>223.57953616319992</v>
      </c>
      <c r="O203" s="34">
        <f t="shared" si="79"/>
        <v>223.57953616319992</v>
      </c>
      <c r="P203" s="34">
        <f t="shared" si="79"/>
        <v>224.18943765120002</v>
      </c>
      <c r="Q203" s="34">
        <f t="shared" si="79"/>
        <v>0</v>
      </c>
      <c r="R203" s="34">
        <f t="shared" si="79"/>
        <v>0</v>
      </c>
      <c r="S203" s="34">
        <f t="shared" si="79"/>
        <v>0</v>
      </c>
      <c r="T203" s="34">
        <f t="shared" si="79"/>
        <v>0</v>
      </c>
      <c r="U203" s="34">
        <f t="shared" si="79"/>
        <v>0</v>
      </c>
      <c r="V203" s="34">
        <f>SUMPRODUCT($G$117:$U$117,G203:U203)</f>
        <v>2059.4118513023986</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80</v>
      </c>
      <c r="H206" s="68">
        <v>120</v>
      </c>
      <c r="I206" s="68">
        <v>130</v>
      </c>
      <c r="J206" s="68">
        <v>130</v>
      </c>
      <c r="K206" s="68">
        <v>130</v>
      </c>
      <c r="L206" s="68">
        <v>130</v>
      </c>
      <c r="M206" s="68">
        <v>130</v>
      </c>
      <c r="N206" s="68">
        <v>130</v>
      </c>
      <c r="O206" s="68">
        <v>130</v>
      </c>
      <c r="P206" s="68">
        <v>130</v>
      </c>
      <c r="Q206" s="68">
        <v>130</v>
      </c>
      <c r="R206" s="68">
        <v>130</v>
      </c>
      <c r="S206" s="68">
        <v>130</v>
      </c>
      <c r="T206" s="68">
        <v>130</v>
      </c>
      <c r="U206" s="68">
        <v>130</v>
      </c>
      <c r="V206" s="43">
        <f t="shared" ref="V206:V217" si="81">SUMPRODUCT($G$117:$U$117,G206:U206)</f>
        <v>1240</v>
      </c>
      <c r="Y206" s="50" t="s">
        <v>664</v>
      </c>
    </row>
    <row r="207" spans="2:25" ht="21">
      <c r="B207" s="27" t="s">
        <v>665</v>
      </c>
      <c r="C207" s="33" t="s">
        <v>666</v>
      </c>
      <c r="D207" s="33" t="s">
        <v>359</v>
      </c>
      <c r="E207" s="33" t="s">
        <v>667</v>
      </c>
      <c r="F207" s="33"/>
      <c r="G207" s="34">
        <f t="shared" ref="G207:U207" si="82">G$117*N(G206)*$F$47</f>
        <v>104</v>
      </c>
      <c r="H207" s="34">
        <f t="shared" si="82"/>
        <v>156</v>
      </c>
      <c r="I207" s="34">
        <f t="shared" si="82"/>
        <v>169</v>
      </c>
      <c r="J207" s="34">
        <f t="shared" si="82"/>
        <v>169</v>
      </c>
      <c r="K207" s="34">
        <f t="shared" si="82"/>
        <v>169</v>
      </c>
      <c r="L207" s="34">
        <f t="shared" si="82"/>
        <v>169</v>
      </c>
      <c r="M207" s="34">
        <f t="shared" si="82"/>
        <v>169</v>
      </c>
      <c r="N207" s="34">
        <f t="shared" si="82"/>
        <v>169</v>
      </c>
      <c r="O207" s="34">
        <f t="shared" si="82"/>
        <v>169</v>
      </c>
      <c r="P207" s="34">
        <f t="shared" si="82"/>
        <v>169</v>
      </c>
      <c r="Q207" s="34">
        <f t="shared" si="82"/>
        <v>0</v>
      </c>
      <c r="R207" s="34">
        <f t="shared" si="82"/>
        <v>0</v>
      </c>
      <c r="S207" s="34">
        <f t="shared" si="82"/>
        <v>0</v>
      </c>
      <c r="T207" s="34">
        <f t="shared" si="82"/>
        <v>0</v>
      </c>
      <c r="U207" s="34">
        <f t="shared" si="82"/>
        <v>0</v>
      </c>
      <c r="V207" s="34">
        <f t="shared" si="81"/>
        <v>1612</v>
      </c>
    </row>
    <row r="208" spans="2:25">
      <c r="B208" s="27" t="s">
        <v>668</v>
      </c>
      <c r="C208" s="33"/>
      <c r="D208" s="33" t="s">
        <v>669</v>
      </c>
      <c r="E208" s="33" t="s">
        <v>155</v>
      </c>
      <c r="F208" s="33"/>
      <c r="G208" s="63">
        <v>0</v>
      </c>
      <c r="H208" s="63">
        <v>0</v>
      </c>
      <c r="I208" s="63">
        <v>0</v>
      </c>
      <c r="J208" s="63">
        <v>0</v>
      </c>
      <c r="K208" s="63">
        <v>0</v>
      </c>
      <c r="L208" s="63">
        <v>0</v>
      </c>
      <c r="M208" s="63">
        <v>0</v>
      </c>
      <c r="N208" s="63">
        <v>0</v>
      </c>
      <c r="O208" s="63">
        <v>0</v>
      </c>
      <c r="P208" s="63">
        <v>0</v>
      </c>
      <c r="Q208" s="63">
        <v>0</v>
      </c>
      <c r="R208" s="63">
        <v>0</v>
      </c>
      <c r="S208" s="63">
        <v>0</v>
      </c>
      <c r="T208" s="63">
        <v>0</v>
      </c>
      <c r="U208" s="63">
        <v>0</v>
      </c>
      <c r="V208" s="67">
        <f t="shared" si="81"/>
        <v>0</v>
      </c>
    </row>
    <row r="209" spans="2:25">
      <c r="B209" s="27" t="s">
        <v>670</v>
      </c>
      <c r="C209" s="33" t="s">
        <v>671</v>
      </c>
      <c r="D209" s="33" t="s">
        <v>359</v>
      </c>
      <c r="E209" s="33" t="s">
        <v>672</v>
      </c>
      <c r="F209" s="33"/>
      <c r="G209" s="34">
        <f t="shared" ref="G209:U209" si="83">G$117*N(G208)*$F$49/1000</f>
        <v>0</v>
      </c>
      <c r="H209" s="34">
        <f t="shared" si="83"/>
        <v>0</v>
      </c>
      <c r="I209" s="34">
        <f t="shared" si="83"/>
        <v>0</v>
      </c>
      <c r="J209" s="34">
        <f t="shared" si="83"/>
        <v>0</v>
      </c>
      <c r="K209" s="34">
        <f t="shared" si="83"/>
        <v>0</v>
      </c>
      <c r="L209" s="34">
        <f t="shared" si="83"/>
        <v>0</v>
      </c>
      <c r="M209" s="34">
        <f t="shared" si="83"/>
        <v>0</v>
      </c>
      <c r="N209" s="34">
        <f t="shared" si="83"/>
        <v>0</v>
      </c>
      <c r="O209" s="34">
        <f t="shared" si="83"/>
        <v>0</v>
      </c>
      <c r="P209" s="34">
        <f t="shared" si="83"/>
        <v>0</v>
      </c>
      <c r="Q209" s="34">
        <f t="shared" si="83"/>
        <v>0</v>
      </c>
      <c r="R209" s="34">
        <f t="shared" si="83"/>
        <v>0</v>
      </c>
      <c r="S209" s="34">
        <f t="shared" si="83"/>
        <v>0</v>
      </c>
      <c r="T209" s="34">
        <f t="shared" si="83"/>
        <v>0</v>
      </c>
      <c r="U209" s="34">
        <f t="shared" si="83"/>
        <v>0</v>
      </c>
      <c r="V209" s="34">
        <f t="shared" si="81"/>
        <v>0</v>
      </c>
    </row>
    <row r="210" spans="2:25">
      <c r="B210" s="27" t="s">
        <v>673</v>
      </c>
      <c r="C210" s="33" t="s">
        <v>674</v>
      </c>
      <c r="D210" s="33" t="s">
        <v>359</v>
      </c>
      <c r="E210" s="33" t="s">
        <v>153</v>
      </c>
      <c r="F210" s="33"/>
      <c r="G210" s="34">
        <f t="shared" ref="G210:U210" si="84">G207+G209</f>
        <v>104</v>
      </c>
      <c r="H210" s="34">
        <f t="shared" si="84"/>
        <v>156</v>
      </c>
      <c r="I210" s="34">
        <f t="shared" si="84"/>
        <v>169</v>
      </c>
      <c r="J210" s="34">
        <f t="shared" si="84"/>
        <v>169</v>
      </c>
      <c r="K210" s="34">
        <f t="shared" si="84"/>
        <v>169</v>
      </c>
      <c r="L210" s="34">
        <f t="shared" si="84"/>
        <v>169</v>
      </c>
      <c r="M210" s="34">
        <f t="shared" si="84"/>
        <v>169</v>
      </c>
      <c r="N210" s="34">
        <f t="shared" si="84"/>
        <v>169</v>
      </c>
      <c r="O210" s="34">
        <f t="shared" si="84"/>
        <v>169</v>
      </c>
      <c r="P210" s="34">
        <f t="shared" si="84"/>
        <v>169</v>
      </c>
      <c r="Q210" s="34">
        <f t="shared" si="84"/>
        <v>0</v>
      </c>
      <c r="R210" s="34">
        <f t="shared" si="84"/>
        <v>0</v>
      </c>
      <c r="S210" s="34">
        <f t="shared" si="84"/>
        <v>0</v>
      </c>
      <c r="T210" s="34">
        <f t="shared" si="84"/>
        <v>0</v>
      </c>
      <c r="U210" s="34">
        <f t="shared" si="84"/>
        <v>0</v>
      </c>
      <c r="V210" s="34">
        <f t="shared" si="81"/>
        <v>1612</v>
      </c>
    </row>
    <row r="211" spans="2:25" ht="21">
      <c r="B211" s="27" t="s">
        <v>675</v>
      </c>
      <c r="C211" s="33"/>
      <c r="D211" s="33" t="s">
        <v>669</v>
      </c>
      <c r="E211" s="33" t="s">
        <v>456</v>
      </c>
      <c r="F211" s="33"/>
      <c r="G211" s="63">
        <v>5348</v>
      </c>
      <c r="H211" s="63">
        <v>7198</v>
      </c>
      <c r="I211" s="63">
        <v>8123</v>
      </c>
      <c r="J211" s="63">
        <v>8123</v>
      </c>
      <c r="K211" s="63">
        <v>8123</v>
      </c>
      <c r="L211" s="63">
        <v>8123</v>
      </c>
      <c r="M211" s="63">
        <v>8123</v>
      </c>
      <c r="N211" s="63">
        <v>8123</v>
      </c>
      <c r="O211" s="63">
        <v>8123</v>
      </c>
      <c r="P211" s="63">
        <v>8123</v>
      </c>
      <c r="Q211" s="63">
        <v>8123</v>
      </c>
      <c r="R211" s="63">
        <v>8123</v>
      </c>
      <c r="S211" s="63">
        <v>8123</v>
      </c>
      <c r="T211" s="63">
        <v>8123</v>
      </c>
      <c r="U211" s="63">
        <v>8123</v>
      </c>
      <c r="V211" s="67">
        <f t="shared" si="81"/>
        <v>77530</v>
      </c>
      <c r="Y211" s="50" t="s">
        <v>746</v>
      </c>
    </row>
    <row r="212" spans="2:25" ht="21">
      <c r="B212" s="27" t="s">
        <v>676</v>
      </c>
      <c r="C212" s="33" t="s">
        <v>677</v>
      </c>
      <c r="D212" s="33" t="s">
        <v>359</v>
      </c>
      <c r="E212" s="33" t="s">
        <v>678</v>
      </c>
      <c r="F212" s="33"/>
      <c r="G212" s="34">
        <f t="shared" ref="G212:U212" si="85">IF($F$50="Manual, or electric on 100% RE",0,G$117*N(G211)*$F$52/1000)</f>
        <v>14.636512290399999</v>
      </c>
      <c r="H212" s="34">
        <f t="shared" si="85"/>
        <v>19.699628920399999</v>
      </c>
      <c r="I212" s="34">
        <f t="shared" si="85"/>
        <v>22.231187235399997</v>
      </c>
      <c r="J212" s="34">
        <f t="shared" si="85"/>
        <v>22.231187235399997</v>
      </c>
      <c r="K212" s="34">
        <f t="shared" si="85"/>
        <v>22.231187235399997</v>
      </c>
      <c r="L212" s="34">
        <f t="shared" si="85"/>
        <v>22.231187235399997</v>
      </c>
      <c r="M212" s="34">
        <f t="shared" si="85"/>
        <v>22.231187235399997</v>
      </c>
      <c r="N212" s="34">
        <f t="shared" si="85"/>
        <v>22.231187235399997</v>
      </c>
      <c r="O212" s="34">
        <f t="shared" si="85"/>
        <v>22.231187235399997</v>
      </c>
      <c r="P212" s="34">
        <f t="shared" si="85"/>
        <v>22.231187235399997</v>
      </c>
      <c r="Q212" s="34">
        <f t="shared" si="85"/>
        <v>0</v>
      </c>
      <c r="R212" s="34">
        <f t="shared" si="85"/>
        <v>0</v>
      </c>
      <c r="S212" s="34">
        <f t="shared" si="85"/>
        <v>0</v>
      </c>
      <c r="T212" s="34">
        <f t="shared" si="85"/>
        <v>0</v>
      </c>
      <c r="U212" s="34">
        <f t="shared" si="85"/>
        <v>0</v>
      </c>
      <c r="V212" s="34">
        <f t="shared" si="81"/>
        <v>212.18563909399998</v>
      </c>
    </row>
    <row r="213" spans="2:25" ht="31.5">
      <c r="B213" s="27" t="s">
        <v>679</v>
      </c>
      <c r="C213" s="33" t="s">
        <v>680</v>
      </c>
      <c r="D213" s="33" t="s">
        <v>359</v>
      </c>
      <c r="E213" s="33" t="s">
        <v>681</v>
      </c>
      <c r="F213" s="33"/>
      <c r="G213" s="69">
        <v>148.69999999999999</v>
      </c>
      <c r="H213" s="69">
        <v>298.2</v>
      </c>
      <c r="I213" s="69">
        <v>371.7</v>
      </c>
      <c r="J213" s="69">
        <v>371.7</v>
      </c>
      <c r="K213" s="69">
        <v>371.7</v>
      </c>
      <c r="L213" s="69">
        <v>372.8</v>
      </c>
      <c r="M213" s="69">
        <v>371.7</v>
      </c>
      <c r="N213" s="69">
        <v>371.7</v>
      </c>
      <c r="O213" s="69">
        <v>371.7</v>
      </c>
      <c r="P213" s="69">
        <v>372.8</v>
      </c>
      <c r="Q213" s="69">
        <v>371.7</v>
      </c>
      <c r="R213" s="69">
        <v>371.7</v>
      </c>
      <c r="S213" s="69">
        <v>371.7</v>
      </c>
      <c r="T213" s="69">
        <v>372.8</v>
      </c>
      <c r="U213" s="69">
        <v>371.7</v>
      </c>
      <c r="V213" s="34">
        <f t="shared" si="81"/>
        <v>3422.7</v>
      </c>
      <c r="Y213" s="50" t="s">
        <v>682</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25.364529440617762</v>
      </c>
      <c r="H215" s="34">
        <f t="shared" si="86"/>
        <v>25.364529440617762</v>
      </c>
      <c r="I215" s="34">
        <f t="shared" si="86"/>
        <v>25.364529440617762</v>
      </c>
      <c r="J215" s="34">
        <f t="shared" si="86"/>
        <v>25.364529440617762</v>
      </c>
      <c r="K215" s="34">
        <f t="shared" si="86"/>
        <v>25.364529440617762</v>
      </c>
      <c r="L215" s="34">
        <f t="shared" si="86"/>
        <v>25.364529440617762</v>
      </c>
      <c r="M215" s="34">
        <f t="shared" si="86"/>
        <v>25.364529440617762</v>
      </c>
      <c r="N215" s="34">
        <f t="shared" si="86"/>
        <v>25.364529440617762</v>
      </c>
      <c r="O215" s="34">
        <f t="shared" si="86"/>
        <v>25.364529440617762</v>
      </c>
      <c r="P215" s="34">
        <f t="shared" si="86"/>
        <v>25.364529440617762</v>
      </c>
      <c r="Q215" s="34">
        <f t="shared" si="86"/>
        <v>0</v>
      </c>
      <c r="R215" s="34">
        <f t="shared" si="86"/>
        <v>0</v>
      </c>
      <c r="S215" s="34">
        <f t="shared" si="86"/>
        <v>0</v>
      </c>
      <c r="T215" s="34">
        <f t="shared" si="86"/>
        <v>0</v>
      </c>
      <c r="U215" s="34">
        <f t="shared" si="86"/>
        <v>0</v>
      </c>
      <c r="V215" s="34">
        <f t="shared" si="81"/>
        <v>253.64529440617761</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0</v>
      </c>
      <c r="H216" s="34">
        <f t="shared" si="87"/>
        <v>0</v>
      </c>
      <c r="I216" s="34">
        <f t="shared" si="87"/>
        <v>0</v>
      </c>
      <c r="J216" s="34">
        <f t="shared" si="87"/>
        <v>0</v>
      </c>
      <c r="K216" s="34">
        <f t="shared" si="87"/>
        <v>0</v>
      </c>
      <c r="L216" s="34">
        <f t="shared" si="87"/>
        <v>0</v>
      </c>
      <c r="M216" s="34">
        <f t="shared" si="87"/>
        <v>0</v>
      </c>
      <c r="N216" s="34">
        <f t="shared" si="87"/>
        <v>0</v>
      </c>
      <c r="O216" s="34">
        <f t="shared" si="87"/>
        <v>0</v>
      </c>
      <c r="P216" s="34">
        <f t="shared" si="87"/>
        <v>0</v>
      </c>
      <c r="Q216" s="34">
        <f t="shared" si="87"/>
        <v>0</v>
      </c>
      <c r="R216" s="34">
        <f t="shared" si="87"/>
        <v>0</v>
      </c>
      <c r="S216" s="34">
        <f t="shared" si="87"/>
        <v>0</v>
      </c>
      <c r="T216" s="34">
        <f t="shared" si="87"/>
        <v>0</v>
      </c>
      <c r="U216" s="34">
        <f t="shared" si="87"/>
        <v>0</v>
      </c>
      <c r="V216" s="34">
        <f t="shared" si="81"/>
        <v>0</v>
      </c>
    </row>
    <row r="217" spans="2:25">
      <c r="B217" s="27" t="s">
        <v>692</v>
      </c>
      <c r="C217" s="33"/>
      <c r="D217" s="33" t="s">
        <v>693</v>
      </c>
      <c r="E217" s="33" t="s">
        <v>257</v>
      </c>
      <c r="F217" s="33"/>
      <c r="G217" s="63">
        <v>0</v>
      </c>
      <c r="H217" s="63">
        <v>0</v>
      </c>
      <c r="I217" s="63">
        <v>0</v>
      </c>
      <c r="J217" s="63">
        <v>0</v>
      </c>
      <c r="K217" s="63">
        <v>0</v>
      </c>
      <c r="L217" s="63">
        <v>0</v>
      </c>
      <c r="M217" s="63">
        <v>0</v>
      </c>
      <c r="N217" s="63">
        <v>0</v>
      </c>
      <c r="O217" s="63">
        <v>0</v>
      </c>
      <c r="P217" s="63">
        <v>0</v>
      </c>
      <c r="Q217" s="63">
        <v>0</v>
      </c>
      <c r="R217" s="63">
        <v>0</v>
      </c>
      <c r="S217" s="63">
        <v>0</v>
      </c>
      <c r="T217" s="63">
        <v>0</v>
      </c>
      <c r="U217" s="63">
        <v>0</v>
      </c>
      <c r="V217" s="67">
        <f t="shared" si="81"/>
        <v>0</v>
      </c>
      <c r="Y217" s="50" t="s">
        <v>694</v>
      </c>
    </row>
    <row r="218" spans="2:25" ht="22.5">
      <c r="B218" s="27" t="s">
        <v>695</v>
      </c>
      <c r="C218" s="33"/>
      <c r="D218" s="33" t="s">
        <v>696</v>
      </c>
      <c r="E218" s="33" t="s">
        <v>257</v>
      </c>
      <c r="F218" s="33"/>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33"/>
    </row>
    <row r="219" spans="2:25">
      <c r="B219" s="27" t="s">
        <v>697</v>
      </c>
      <c r="C219" s="33"/>
      <c r="D219" s="33" t="s">
        <v>359</v>
      </c>
      <c r="E219" s="33" t="s">
        <v>156</v>
      </c>
      <c r="F219" s="33"/>
      <c r="G219" s="34">
        <f t="shared" ref="G219:U219" si="88">G$117*N(G217)*N(G218)*$F$25*$F$55*$F$30/1000</f>
        <v>0</v>
      </c>
      <c r="H219" s="34">
        <f t="shared" si="88"/>
        <v>0</v>
      </c>
      <c r="I219" s="34">
        <f t="shared" si="88"/>
        <v>0</v>
      </c>
      <c r="J219" s="34">
        <f t="shared" si="88"/>
        <v>0</v>
      </c>
      <c r="K219" s="34">
        <f t="shared" si="88"/>
        <v>0</v>
      </c>
      <c r="L219" s="34">
        <f t="shared" si="88"/>
        <v>0</v>
      </c>
      <c r="M219" s="34">
        <f t="shared" si="88"/>
        <v>0</v>
      </c>
      <c r="N219" s="34">
        <f t="shared" si="88"/>
        <v>0</v>
      </c>
      <c r="O219" s="34">
        <f t="shared" si="88"/>
        <v>0</v>
      </c>
      <c r="P219" s="34">
        <f t="shared" si="88"/>
        <v>0</v>
      </c>
      <c r="Q219" s="34">
        <f t="shared" si="88"/>
        <v>0</v>
      </c>
      <c r="R219" s="34">
        <f t="shared" si="88"/>
        <v>0</v>
      </c>
      <c r="S219" s="34">
        <f t="shared" si="88"/>
        <v>0</v>
      </c>
      <c r="T219" s="34">
        <f t="shared" si="88"/>
        <v>0</v>
      </c>
      <c r="U219" s="34">
        <f t="shared" si="88"/>
        <v>0</v>
      </c>
      <c r="V219" s="34">
        <f>SUMPRODUCT($G$117:$U$117,G219:U219)</f>
        <v>0</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0</v>
      </c>
      <c r="H221" s="34">
        <f t="shared" si="89"/>
        <v>0</v>
      </c>
      <c r="I221" s="34">
        <f t="shared" si="89"/>
        <v>0</v>
      </c>
      <c r="J221" s="34">
        <f t="shared" si="89"/>
        <v>0</v>
      </c>
      <c r="K221" s="34">
        <f t="shared" si="89"/>
        <v>0</v>
      </c>
      <c r="L221" s="34">
        <f t="shared" si="89"/>
        <v>0</v>
      </c>
      <c r="M221" s="34">
        <f t="shared" si="89"/>
        <v>0</v>
      </c>
      <c r="N221" s="34">
        <f t="shared" si="89"/>
        <v>0</v>
      </c>
      <c r="O221" s="34">
        <f t="shared" si="89"/>
        <v>0</v>
      </c>
      <c r="P221" s="34">
        <f t="shared" si="89"/>
        <v>0</v>
      </c>
      <c r="Q221" s="34">
        <f t="shared" si="89"/>
        <v>0</v>
      </c>
      <c r="R221" s="34">
        <f t="shared" si="89"/>
        <v>0</v>
      </c>
      <c r="S221" s="34">
        <f t="shared" si="89"/>
        <v>0</v>
      </c>
      <c r="T221" s="34">
        <f t="shared" si="89"/>
        <v>0</v>
      </c>
      <c r="U221" s="34">
        <f t="shared" si="89"/>
        <v>0</v>
      </c>
      <c r="V221" s="34">
        <f>SUMPRODUCT($G$117:$U$117,G221:U221)</f>
        <v>0</v>
      </c>
    </row>
    <row r="222" spans="2:25">
      <c r="B222" s="30" t="s">
        <v>701</v>
      </c>
      <c r="C222" s="33" t="s">
        <v>702</v>
      </c>
      <c r="D222" s="33" t="s">
        <v>359</v>
      </c>
      <c r="E222" s="33" t="s">
        <v>149</v>
      </c>
      <c r="F222" s="33"/>
      <c r="G222" s="31">
        <f t="shared" ref="G222:U222" si="90">G210+G212+G$117*(N(G213)+N(G214))+G215+G216+G221</f>
        <v>292.70104173101777</v>
      </c>
      <c r="H222" s="31">
        <f t="shared" si="90"/>
        <v>499.26415836101779</v>
      </c>
      <c r="I222" s="31">
        <f t="shared" si="90"/>
        <v>588.29571667601772</v>
      </c>
      <c r="J222" s="31">
        <f t="shared" si="90"/>
        <v>588.29571667601772</v>
      </c>
      <c r="K222" s="31">
        <f t="shared" si="90"/>
        <v>588.29571667601772</v>
      </c>
      <c r="L222" s="31">
        <f t="shared" si="90"/>
        <v>589.39571667601774</v>
      </c>
      <c r="M222" s="31">
        <f t="shared" si="90"/>
        <v>588.29571667601772</v>
      </c>
      <c r="N222" s="31">
        <f t="shared" si="90"/>
        <v>588.29571667601772</v>
      </c>
      <c r="O222" s="31">
        <f t="shared" si="90"/>
        <v>588.29571667601772</v>
      </c>
      <c r="P222" s="31">
        <f t="shared" si="90"/>
        <v>589.39571667601774</v>
      </c>
      <c r="Q222" s="31">
        <f t="shared" si="90"/>
        <v>0</v>
      </c>
      <c r="R222" s="31">
        <f t="shared" si="90"/>
        <v>0</v>
      </c>
      <c r="S222" s="31">
        <f t="shared" si="90"/>
        <v>0</v>
      </c>
      <c r="T222" s="31">
        <f t="shared" si="90"/>
        <v>0</v>
      </c>
      <c r="U222" s="31">
        <f t="shared" si="90"/>
        <v>0</v>
      </c>
      <c r="V222" s="31">
        <f>SUMPRODUCT($G$117:$U$117,G222:U222)</f>
        <v>5500.5309335001775</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CBS containers, batch 1</v>
      </c>
      <c r="C225" s="33" t="str">
        <f>IF($G$101="","",$G$101)</f>
        <v>Tier 1</v>
      </c>
      <c r="D225" s="33" t="s">
        <v>359</v>
      </c>
      <c r="E225" s="33" t="s">
        <v>174</v>
      </c>
      <c r="F225" s="33"/>
      <c r="G225" s="34">
        <f t="shared" ref="G225:U225" si="92">IF(OR(G$117=0,$G$101="",N($G$107)=0),0,IF($G$101="Tier 1",IF(AND(G$114&gt;=$G$108,IF(N($G$109)&gt;0,MOD(G$114-$G$108,$G$109)=0,G$114=$G$108)),$G$107,0),$G$107/($G$110*365)*MAX(0,MIN(G$119+1,$G$111+$G$110*365)-MAX(G$118,$G$111))))</f>
        <v>320</v>
      </c>
      <c r="H225" s="34">
        <f t="shared" si="92"/>
        <v>0</v>
      </c>
      <c r="I225" s="34">
        <f t="shared" si="92"/>
        <v>0</v>
      </c>
      <c r="J225" s="34">
        <f t="shared" si="92"/>
        <v>320</v>
      </c>
      <c r="K225" s="34">
        <f t="shared" si="92"/>
        <v>0</v>
      </c>
      <c r="L225" s="34">
        <f t="shared" si="92"/>
        <v>0</v>
      </c>
      <c r="M225" s="34">
        <f t="shared" si="92"/>
        <v>320</v>
      </c>
      <c r="N225" s="34">
        <f t="shared" si="92"/>
        <v>0</v>
      </c>
      <c r="O225" s="34">
        <f t="shared" si="92"/>
        <v>0</v>
      </c>
      <c r="P225" s="34">
        <f t="shared" si="92"/>
        <v>320</v>
      </c>
      <c r="Q225" s="34">
        <f t="shared" si="92"/>
        <v>0</v>
      </c>
      <c r="R225" s="34">
        <f t="shared" si="92"/>
        <v>0</v>
      </c>
      <c r="S225" s="34">
        <f t="shared" si="92"/>
        <v>0</v>
      </c>
      <c r="T225" s="34">
        <f t="shared" si="92"/>
        <v>0</v>
      </c>
      <c r="U225" s="34">
        <f t="shared" si="92"/>
        <v>0</v>
      </c>
      <c r="V225" s="34">
        <f t="shared" ref="V225:V240" si="93">SUMPRODUCT($G$117:$U$117,G225:U225)</f>
        <v>1280</v>
      </c>
      <c r="W225" s="34">
        <f t="shared" ref="W225:W232" si="94">IF($F$44&gt;0,SUMPRODUCT(($G$114:$U$114&lt;=$F$44)*(G225:U225)),0)</f>
        <v>0</v>
      </c>
      <c r="X225" s="34">
        <f>IF(AND($F$44&gt;0,$G$101&lt;&gt;"",$G$101&lt;&gt;"Tier 1",N($G$108)&lt;=$F$44),$G$107-W225,0)</f>
        <v>0</v>
      </c>
    </row>
    <row r="226" spans="2:25">
      <c r="B226" s="27" t="str">
        <f>"Item 2: "&amp;IF($H$100="","not used",$H$100)</f>
        <v>Item 2: CBS containers, batch 2</v>
      </c>
      <c r="C226" s="33" t="str">
        <f>IF($H$101="","",$H$101)</f>
        <v>Tier 1</v>
      </c>
      <c r="D226" s="33" t="s">
        <v>359</v>
      </c>
      <c r="E226" s="33" t="s">
        <v>174</v>
      </c>
      <c r="F226" s="33"/>
      <c r="G226" s="34">
        <f t="shared" ref="G226:U226" si="95">IF(OR(G$117=0,$H$101="",N($H$107)=0),0,IF($H$101="Tier 1",IF(AND(G$114&gt;=$H$108,IF(N($H$109)&gt;0,MOD(G$114-$H$108,$H$109)=0,G$114=$H$108)),$H$107,0),$H$107/($H$110*365)*MAX(0,MIN(G$119+1,$H$111+$H$110*365)-MAX(G$118,$H$111))))</f>
        <v>0</v>
      </c>
      <c r="H226" s="34">
        <f t="shared" si="95"/>
        <v>320</v>
      </c>
      <c r="I226" s="34">
        <f t="shared" si="95"/>
        <v>0</v>
      </c>
      <c r="J226" s="34">
        <f t="shared" si="95"/>
        <v>0</v>
      </c>
      <c r="K226" s="34">
        <f t="shared" si="95"/>
        <v>320</v>
      </c>
      <c r="L226" s="34">
        <f t="shared" si="95"/>
        <v>0</v>
      </c>
      <c r="M226" s="34">
        <f t="shared" si="95"/>
        <v>0</v>
      </c>
      <c r="N226" s="34">
        <f t="shared" si="95"/>
        <v>320</v>
      </c>
      <c r="O226" s="34">
        <f t="shared" si="95"/>
        <v>0</v>
      </c>
      <c r="P226" s="34">
        <f t="shared" si="95"/>
        <v>0</v>
      </c>
      <c r="Q226" s="34">
        <f t="shared" si="95"/>
        <v>0</v>
      </c>
      <c r="R226" s="34">
        <f t="shared" si="95"/>
        <v>0</v>
      </c>
      <c r="S226" s="34">
        <f t="shared" si="95"/>
        <v>0</v>
      </c>
      <c r="T226" s="34">
        <f t="shared" si="95"/>
        <v>0</v>
      </c>
      <c r="U226" s="34">
        <f t="shared" si="95"/>
        <v>0</v>
      </c>
      <c r="V226" s="34">
        <f t="shared" si="93"/>
        <v>960</v>
      </c>
      <c r="W226" s="34">
        <f t="shared" si="94"/>
        <v>0</v>
      </c>
      <c r="X226" s="34">
        <f>IF(AND($F$44&gt;0,$H$101&lt;&gt;"",$H$101&lt;&gt;"Tier 1",N($H$108)&lt;=$F$44),$H$107-W226,0)</f>
        <v>0</v>
      </c>
    </row>
    <row r="227" spans="2:25">
      <c r="B227" s="27" t="str">
        <f>"Item 3: "&amp;IF($I$100="","not used",$I$100)</f>
        <v>Item 3: CBS containers, batch 3</v>
      </c>
      <c r="C227" s="33" t="str">
        <f>IF($I$101="","",$I$101)</f>
        <v>Tier 1</v>
      </c>
      <c r="D227" s="33" t="s">
        <v>359</v>
      </c>
      <c r="E227" s="33" t="s">
        <v>174</v>
      </c>
      <c r="F227" s="33"/>
      <c r="G227" s="34">
        <f t="shared" ref="G227:U227" si="96">IF(OR(G$117=0,$I$101="",N($I$107)=0),0,IF($I$101="Tier 1",IF(AND(G$114&gt;=$I$108,IF(N($I$109)&gt;0,MOD(G$114-$I$108,$I$109)=0,G$114=$I$108)),$I$107,0),$I$107/($I$110*365)*MAX(0,MIN(G$119+1,$I$111+$I$110*365)-MAX(G$118,$I$111))))</f>
        <v>0</v>
      </c>
      <c r="H227" s="34">
        <f t="shared" si="96"/>
        <v>0</v>
      </c>
      <c r="I227" s="34">
        <f t="shared" si="96"/>
        <v>160</v>
      </c>
      <c r="J227" s="34">
        <f t="shared" si="96"/>
        <v>0</v>
      </c>
      <c r="K227" s="34">
        <f t="shared" si="96"/>
        <v>0</v>
      </c>
      <c r="L227" s="34">
        <f t="shared" si="96"/>
        <v>160</v>
      </c>
      <c r="M227" s="34">
        <f t="shared" si="96"/>
        <v>0</v>
      </c>
      <c r="N227" s="34">
        <f t="shared" si="96"/>
        <v>0</v>
      </c>
      <c r="O227" s="34">
        <f t="shared" si="96"/>
        <v>160</v>
      </c>
      <c r="P227" s="34">
        <f t="shared" si="96"/>
        <v>0</v>
      </c>
      <c r="Q227" s="34">
        <f t="shared" si="96"/>
        <v>0</v>
      </c>
      <c r="R227" s="34">
        <f t="shared" si="96"/>
        <v>0</v>
      </c>
      <c r="S227" s="34">
        <f t="shared" si="96"/>
        <v>0</v>
      </c>
      <c r="T227" s="34">
        <f t="shared" si="96"/>
        <v>0</v>
      </c>
      <c r="U227" s="34">
        <f t="shared" si="96"/>
        <v>0</v>
      </c>
      <c r="V227" s="34">
        <f t="shared" si="93"/>
        <v>480</v>
      </c>
      <c r="W227" s="34">
        <f t="shared" si="94"/>
        <v>0</v>
      </c>
      <c r="X227" s="34">
        <f>IF(AND($F$44&gt;0,$I$101&lt;&gt;"",$I$101&lt;&gt;"Tier 1",N($I$108)&lt;=$F$44),$I$107-W227,0)</f>
        <v>0</v>
      </c>
    </row>
    <row r="228" spans="2:25">
      <c r="B228" s="27" t="str">
        <f>"Item 4: "&amp;IF($J$100="","not used",$J$100)</f>
        <v>Item 4: Transfer kiosks (blockwork)</v>
      </c>
      <c r="C228" s="33" t="str">
        <f>IF($J$101="","",$J$101)</f>
        <v>Tier 2</v>
      </c>
      <c r="D228" s="33" t="s">
        <v>359</v>
      </c>
      <c r="E228" s="33" t="s">
        <v>174</v>
      </c>
      <c r="F228" s="33"/>
      <c r="G228" s="34">
        <f t="shared" ref="G228:U228" si="97">IF(OR(G$117=0,$J$101="",N($J$107)=0),0,IF($J$101="Tier 1",IF(AND(G$114&gt;=$J$108,IF(N($J$109)&gt;0,MOD(G$114-$J$108,$J$109)=0,G$114=$J$108)),$J$107,0),$J$107/($J$110*365)*MAX(0,MIN(G$119+1,$J$111+$J$110*365)-MAX(G$118,$J$111))))</f>
        <v>6.24</v>
      </c>
      <c r="H228" s="34">
        <f t="shared" si="97"/>
        <v>6.2570958904109588</v>
      </c>
      <c r="I228" s="34">
        <f t="shared" si="97"/>
        <v>6.24</v>
      </c>
      <c r="J228" s="34">
        <f t="shared" si="97"/>
        <v>6.24</v>
      </c>
      <c r="K228" s="34">
        <f t="shared" si="97"/>
        <v>6.2229041095890416</v>
      </c>
      <c r="L228" s="34">
        <f t="shared" si="97"/>
        <v>0</v>
      </c>
      <c r="M228" s="34">
        <f t="shared" si="97"/>
        <v>0</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31.2</v>
      </c>
      <c r="W228" s="34">
        <f t="shared" si="94"/>
        <v>0</v>
      </c>
      <c r="X228" s="34">
        <f>IF(AND($F$44&gt;0,$J$101&lt;&gt;"",$J$101&lt;&gt;"Tier 1",N($J$108)&lt;=$F$44),$J$107-W228,0)</f>
        <v>0</v>
      </c>
    </row>
    <row r="229" spans="2:25">
      <c r="B229" s="27" t="str">
        <f>"Item 5: "&amp;IF($K$100="","not used",$K$100)</f>
        <v>Item 5: Composting site (reinforced concrete)</v>
      </c>
      <c r="C229" s="33" t="str">
        <f>IF($K$101="","",$K$101)</f>
        <v>Tier 3</v>
      </c>
      <c r="D229" s="33" t="s">
        <v>359</v>
      </c>
      <c r="E229" s="33" t="s">
        <v>174</v>
      </c>
      <c r="F229" s="33"/>
      <c r="G229" s="34">
        <f t="shared" ref="G229:U229" si="98">IF(OR(G$117=0,$K$101="",N($K$107)=0),0,IF($K$101="Tier 1",IF(AND(G$114&gt;=$K$108,IF(N($K$109)&gt;0,MOD(G$114-$K$108,$K$109)=0,G$114=$K$108)),$K$107,0),$K$107/($K$110*365)*MAX(0,MIN(G$119+1,$K$111+$K$110*365)-MAX(G$118,$K$111))))</f>
        <v>54</v>
      </c>
      <c r="H229" s="34">
        <f t="shared" si="98"/>
        <v>54.147945205479452</v>
      </c>
      <c r="I229" s="34">
        <f t="shared" si="98"/>
        <v>54</v>
      </c>
      <c r="J229" s="34">
        <f t="shared" si="98"/>
        <v>54</v>
      </c>
      <c r="K229" s="34">
        <f t="shared" si="98"/>
        <v>53.852054794520548</v>
      </c>
      <c r="L229" s="34">
        <f t="shared" si="98"/>
        <v>0</v>
      </c>
      <c r="M229" s="34">
        <f t="shared" si="98"/>
        <v>0</v>
      </c>
      <c r="N229" s="34">
        <f t="shared" si="98"/>
        <v>0</v>
      </c>
      <c r="O229" s="34">
        <f t="shared" si="98"/>
        <v>0</v>
      </c>
      <c r="P229" s="34">
        <f t="shared" si="98"/>
        <v>0</v>
      </c>
      <c r="Q229" s="34">
        <f t="shared" si="98"/>
        <v>0</v>
      </c>
      <c r="R229" s="34">
        <f t="shared" si="98"/>
        <v>0</v>
      </c>
      <c r="S229" s="34">
        <f t="shared" si="98"/>
        <v>0</v>
      </c>
      <c r="T229" s="34">
        <f t="shared" si="98"/>
        <v>0</v>
      </c>
      <c r="U229" s="34">
        <f t="shared" si="98"/>
        <v>0</v>
      </c>
      <c r="V229" s="34">
        <f t="shared" si="93"/>
        <v>270</v>
      </c>
      <c r="W229" s="34">
        <f t="shared" si="94"/>
        <v>0</v>
      </c>
      <c r="X229" s="34">
        <f>IF(AND($F$44&gt;0,$K$101&lt;&gt;"",$K$101&lt;&gt;"Tier 1",N($K$108)&lt;=$F$44),$K$107-W229,0)</f>
        <v>0</v>
      </c>
    </row>
    <row r="230" spans="2:25">
      <c r="B230" s="27" t="str">
        <f>"Item 6: "&amp;IF($L$100="","not used",$L$100)</f>
        <v>Item 6: Drying beds (reinforced concrete)</v>
      </c>
      <c r="C230" s="33" t="str">
        <f>IF($L$101="","",$L$101)</f>
        <v>Tier 3</v>
      </c>
      <c r="D230" s="33" t="s">
        <v>359</v>
      </c>
      <c r="E230" s="33" t="s">
        <v>174</v>
      </c>
      <c r="F230" s="33"/>
      <c r="G230" s="34">
        <f t="shared" ref="G230:U230" si="99">IF(OR(G$117=0,$L$101="",N($L$107)=0),0,IF($L$101="Tier 1",IF(AND(G$114&gt;=$L$108,IF(N($L$109)&gt;0,MOD(G$114-$L$108,$L$109)=0,G$114=$L$108)),$L$107,0),$L$107/($L$110*365)*MAX(0,MIN(G$119+1,$L$111+$L$110*365)-MAX(G$118,$L$111))))</f>
        <v>14.4</v>
      </c>
      <c r="H230" s="34">
        <f t="shared" si="99"/>
        <v>14.43945205479452</v>
      </c>
      <c r="I230" s="34">
        <f t="shared" si="99"/>
        <v>14.4</v>
      </c>
      <c r="J230" s="34">
        <f t="shared" si="99"/>
        <v>14.4</v>
      </c>
      <c r="K230" s="34">
        <f t="shared" si="99"/>
        <v>14.360547945205479</v>
      </c>
      <c r="L230" s="34">
        <f t="shared" si="99"/>
        <v>0</v>
      </c>
      <c r="M230" s="34">
        <f t="shared" si="99"/>
        <v>0</v>
      </c>
      <c r="N230" s="34">
        <f t="shared" si="99"/>
        <v>0</v>
      </c>
      <c r="O230" s="34">
        <f t="shared" si="99"/>
        <v>0</v>
      </c>
      <c r="P230" s="34">
        <f t="shared" si="99"/>
        <v>0</v>
      </c>
      <c r="Q230" s="34">
        <f t="shared" si="99"/>
        <v>0</v>
      </c>
      <c r="R230" s="34">
        <f t="shared" si="99"/>
        <v>0</v>
      </c>
      <c r="S230" s="34">
        <f t="shared" si="99"/>
        <v>0</v>
      </c>
      <c r="T230" s="34">
        <f t="shared" si="99"/>
        <v>0</v>
      </c>
      <c r="U230" s="34">
        <f t="shared" si="99"/>
        <v>0</v>
      </c>
      <c r="V230" s="34">
        <f t="shared" si="93"/>
        <v>72</v>
      </c>
      <c r="W230" s="34">
        <f t="shared" si="94"/>
        <v>0</v>
      </c>
      <c r="X230" s="34">
        <f>IF(AND($F$44&gt;0,$L$101&lt;&gt;"",$L$101&lt;&gt;"Tier 1",N($L$108)&lt;=$F$44),$L$107-W230,0)</f>
        <v>0</v>
      </c>
    </row>
    <row r="231" spans="2:25">
      <c r="B231" s="27" t="str">
        <f>"Item 7: "&amp;IF($M$100="","not used",$M$100)</f>
        <v>Item 7: Vacuum trucks</v>
      </c>
      <c r="C231" s="33" t="str">
        <f>IF($M$101="","",$M$101)</f>
        <v>Tier 3</v>
      </c>
      <c r="D231" s="33" t="s">
        <v>359</v>
      </c>
      <c r="E231" s="33" t="s">
        <v>174</v>
      </c>
      <c r="F231" s="33"/>
      <c r="G231" s="34">
        <f t="shared" ref="G231:U231" si="100">IF(OR(G$117=0,$M$101="",N($M$107)=0),0,IF($M$101="Tier 1",IF(AND(G$114&gt;=$M$108,IF(N($M$109)&gt;0,MOD(G$114-$M$108,$M$109)=0,G$114=$M$108)),$M$107,0),$M$107/($M$110*365)*MAX(0,MIN(G$119+1,$M$111+$M$110*365)-MAX(G$118,$M$111))))</f>
        <v>8.64</v>
      </c>
      <c r="H231" s="34">
        <f t="shared" si="100"/>
        <v>8.6636712328767125</v>
      </c>
      <c r="I231" s="34">
        <f t="shared" si="100"/>
        <v>8.64</v>
      </c>
      <c r="J231" s="34">
        <f t="shared" si="100"/>
        <v>8.64</v>
      </c>
      <c r="K231" s="34">
        <f t="shared" si="100"/>
        <v>8.6163287671232887</v>
      </c>
      <c r="L231" s="34">
        <f t="shared" si="100"/>
        <v>0</v>
      </c>
      <c r="M231" s="34">
        <f t="shared" si="100"/>
        <v>0</v>
      </c>
      <c r="N231" s="34">
        <f t="shared" si="100"/>
        <v>0</v>
      </c>
      <c r="O231" s="34">
        <f t="shared" si="100"/>
        <v>0</v>
      </c>
      <c r="P231" s="34">
        <f t="shared" si="100"/>
        <v>0</v>
      </c>
      <c r="Q231" s="34">
        <f t="shared" si="100"/>
        <v>0</v>
      </c>
      <c r="R231" s="34">
        <f t="shared" si="100"/>
        <v>0</v>
      </c>
      <c r="S231" s="34">
        <f t="shared" si="100"/>
        <v>0</v>
      </c>
      <c r="T231" s="34">
        <f t="shared" si="100"/>
        <v>0</v>
      </c>
      <c r="U231" s="34">
        <f t="shared" si="100"/>
        <v>0</v>
      </c>
      <c r="V231" s="34">
        <f t="shared" si="93"/>
        <v>43.2</v>
      </c>
      <c r="W231" s="34">
        <f t="shared" si="94"/>
        <v>0</v>
      </c>
      <c r="X231" s="34">
        <f>IF(AND($F$44&gt;0,$M$101&lt;&gt;"",$M$101&lt;&gt;"Tier 1",N($M$108)&lt;=$F$44),$M$107-W231,0)</f>
        <v>0</v>
      </c>
    </row>
    <row r="232" spans="2:25">
      <c r="B232" s="27" t="str">
        <f>"Item 8: "&amp;IF($N$100="","not used",$N$100)</f>
        <v>Item 8: CBS transfer trucks</v>
      </c>
      <c r="C232" s="33" t="str">
        <f>IF($N$101="","",$N$101)</f>
        <v>Tier 3</v>
      </c>
      <c r="D232" s="33" t="s">
        <v>359</v>
      </c>
      <c r="E232" s="33" t="s">
        <v>174</v>
      </c>
      <c r="F232" s="33"/>
      <c r="G232" s="34">
        <f t="shared" ref="G232:U232" si="101">IF(OR(G$117=0,$N$101="",N($N$107)=0),0,IF($N$101="Tier 1",IF(AND(G$114&gt;=$N$108,IF(N($N$109)&gt;0,MOD(G$114-$N$108,$N$109)=0,G$114=$N$108)),$N$107,0),$N$107/($N$110*365)*MAX(0,MIN(G$119+1,$N$111+$N$110*365)-MAX(G$118,$N$111))))</f>
        <v>8.9599999999999991</v>
      </c>
      <c r="H232" s="34">
        <f t="shared" si="101"/>
        <v>8.9845479452054793</v>
      </c>
      <c r="I232" s="34">
        <f t="shared" si="101"/>
        <v>8.9599999999999991</v>
      </c>
      <c r="J232" s="34">
        <f t="shared" si="101"/>
        <v>8.9599999999999991</v>
      </c>
      <c r="K232" s="34">
        <f t="shared" si="101"/>
        <v>8.9354520547945206</v>
      </c>
      <c r="L232" s="34">
        <f t="shared" si="101"/>
        <v>0</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44.8</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412.23999999999995</v>
      </c>
      <c r="H233" s="34">
        <f t="shared" si="102"/>
        <v>412.49271232876708</v>
      </c>
      <c r="I233" s="34">
        <f t="shared" si="102"/>
        <v>252.24000000000004</v>
      </c>
      <c r="J233" s="34">
        <f t="shared" si="102"/>
        <v>412.23999999999995</v>
      </c>
      <c r="K233" s="34">
        <f t="shared" si="102"/>
        <v>411.98728767123282</v>
      </c>
      <c r="L233" s="34">
        <f t="shared" si="102"/>
        <v>160</v>
      </c>
      <c r="M233" s="34">
        <f t="shared" si="102"/>
        <v>320</v>
      </c>
      <c r="N233" s="34">
        <f t="shared" si="102"/>
        <v>320</v>
      </c>
      <c r="O233" s="34">
        <f t="shared" si="102"/>
        <v>160</v>
      </c>
      <c r="P233" s="34">
        <f t="shared" si="102"/>
        <v>320</v>
      </c>
      <c r="Q233" s="34">
        <f t="shared" si="102"/>
        <v>0</v>
      </c>
      <c r="R233" s="34">
        <f t="shared" si="102"/>
        <v>0</v>
      </c>
      <c r="S233" s="34">
        <f t="shared" si="102"/>
        <v>0</v>
      </c>
      <c r="T233" s="34">
        <f t="shared" si="102"/>
        <v>0</v>
      </c>
      <c r="U233" s="34">
        <f t="shared" si="102"/>
        <v>0</v>
      </c>
      <c r="V233" s="34">
        <f t="shared" si="93"/>
        <v>3181.2</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412.23999999999995</v>
      </c>
      <c r="H240" s="31">
        <f t="shared" si="107"/>
        <v>412.49271232876708</v>
      </c>
      <c r="I240" s="31">
        <f t="shared" si="107"/>
        <v>252.24000000000004</v>
      </c>
      <c r="J240" s="31">
        <f t="shared" si="107"/>
        <v>412.23999999999995</v>
      </c>
      <c r="K240" s="31">
        <f t="shared" si="107"/>
        <v>411.98728767123282</v>
      </c>
      <c r="L240" s="31">
        <f t="shared" si="107"/>
        <v>160</v>
      </c>
      <c r="M240" s="31">
        <f t="shared" si="107"/>
        <v>320</v>
      </c>
      <c r="N240" s="31">
        <f t="shared" si="107"/>
        <v>320</v>
      </c>
      <c r="O240" s="31">
        <f t="shared" si="107"/>
        <v>160</v>
      </c>
      <c r="P240" s="31">
        <f t="shared" si="107"/>
        <v>320</v>
      </c>
      <c r="Q240" s="31">
        <f t="shared" si="107"/>
        <v>0</v>
      </c>
      <c r="R240" s="31">
        <f t="shared" si="107"/>
        <v>0</v>
      </c>
      <c r="S240" s="31">
        <f t="shared" si="107"/>
        <v>0</v>
      </c>
      <c r="T240" s="31">
        <f t="shared" si="107"/>
        <v>0</v>
      </c>
      <c r="U240" s="31">
        <f t="shared" si="107"/>
        <v>0</v>
      </c>
      <c r="V240" s="31">
        <f t="shared" si="93"/>
        <v>3181.2</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2066.7410737624741</v>
      </c>
      <c r="H243" s="34">
        <f t="shared" si="109"/>
        <v>4618.1667886739979</v>
      </c>
      <c r="I243" s="34">
        <f t="shared" si="109"/>
        <v>6045.6498395445124</v>
      </c>
      <c r="J243" s="34">
        <f t="shared" si="109"/>
        <v>5885.6498395445124</v>
      </c>
      <c r="K243" s="34">
        <f t="shared" si="109"/>
        <v>5885.9025518732797</v>
      </c>
      <c r="L243" s="34">
        <f t="shared" si="109"/>
        <v>6155.5746303597016</v>
      </c>
      <c r="M243" s="34">
        <f t="shared" si="109"/>
        <v>5977.8898395445121</v>
      </c>
      <c r="N243" s="34">
        <f t="shared" si="109"/>
        <v>5977.8898395445121</v>
      </c>
      <c r="O243" s="34">
        <f t="shared" si="109"/>
        <v>6137.8898395445121</v>
      </c>
      <c r="P243" s="34">
        <f t="shared" si="109"/>
        <v>5995.5746303597016</v>
      </c>
      <c r="Q243" s="34">
        <f t="shared" si="109"/>
        <v>0</v>
      </c>
      <c r="R243" s="34">
        <f t="shared" si="109"/>
        <v>0</v>
      </c>
      <c r="S243" s="34">
        <f t="shared" si="109"/>
        <v>0</v>
      </c>
      <c r="T243" s="34">
        <f t="shared" si="109"/>
        <v>0</v>
      </c>
      <c r="U243" s="34">
        <f t="shared" si="109"/>
        <v>0</v>
      </c>
      <c r="V243" s="34">
        <f>SUMPRODUCT($G$117:$U$117,G243:U243)</f>
        <v>54746.92887275172</v>
      </c>
    </row>
    <row r="244" spans="2:25">
      <c r="B244" s="30" t="s">
        <v>721</v>
      </c>
      <c r="C244" s="33"/>
      <c r="D244" s="33" t="s">
        <v>359</v>
      </c>
      <c r="E244" s="33" t="s">
        <v>722</v>
      </c>
      <c r="F244" s="33"/>
      <c r="G244" s="31">
        <f t="shared" ref="G244:U244" si="110">IF(G$117=1,MAX(0,G243),0)</f>
        <v>2066.7410737624741</v>
      </c>
      <c r="H244" s="31">
        <f t="shared" si="110"/>
        <v>4618.1667886739979</v>
      </c>
      <c r="I244" s="31">
        <f t="shared" si="110"/>
        <v>6045.6498395445124</v>
      </c>
      <c r="J244" s="31">
        <f t="shared" si="110"/>
        <v>5885.6498395445124</v>
      </c>
      <c r="K244" s="31">
        <f t="shared" si="110"/>
        <v>5885.9025518732797</v>
      </c>
      <c r="L244" s="31">
        <f t="shared" si="110"/>
        <v>6155.5746303597016</v>
      </c>
      <c r="M244" s="31">
        <f t="shared" si="110"/>
        <v>5977.8898395445121</v>
      </c>
      <c r="N244" s="31">
        <f t="shared" si="110"/>
        <v>5977.8898395445121</v>
      </c>
      <c r="O244" s="31">
        <f t="shared" si="110"/>
        <v>6137.8898395445121</v>
      </c>
      <c r="P244" s="31">
        <f t="shared" si="110"/>
        <v>5995.5746303597016</v>
      </c>
      <c r="Q244" s="31">
        <f t="shared" si="110"/>
        <v>0</v>
      </c>
      <c r="R244" s="31">
        <f t="shared" si="110"/>
        <v>0</v>
      </c>
      <c r="S244" s="31">
        <f t="shared" si="110"/>
        <v>0</v>
      </c>
      <c r="T244" s="31">
        <f t="shared" si="110"/>
        <v>0</v>
      </c>
      <c r="U244" s="31">
        <f t="shared" si="110"/>
        <v>0</v>
      </c>
      <c r="V244" s="31">
        <f>SUMPRODUCT($G$117:$U$117,G244:U244)</f>
        <v>54746.92887275172</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2066.7410737624741</v>
      </c>
      <c r="H246" s="34">
        <f>SUM($G244:H244)</f>
        <v>6684.907862436472</v>
      </c>
      <c r="I246" s="34">
        <f>SUM($G244:I244)</f>
        <v>12730.557701980984</v>
      </c>
      <c r="J246" s="34">
        <f>SUM($G244:J244)</f>
        <v>18616.207541525495</v>
      </c>
      <c r="K246" s="34">
        <f>SUM($G244:K244)</f>
        <v>24502.110093398776</v>
      </c>
      <c r="L246" s="34">
        <f>SUM($G244:L244)</f>
        <v>30657.684723758477</v>
      </c>
      <c r="M246" s="34">
        <f>SUM($G244:M244)</f>
        <v>36635.574563302987</v>
      </c>
      <c r="N246" s="34">
        <f>SUM($G244:N244)</f>
        <v>42613.464402847501</v>
      </c>
      <c r="O246" s="34">
        <f>SUM($G244:O244)</f>
        <v>48751.354242392015</v>
      </c>
      <c r="P246" s="34">
        <f>SUM($G244:P244)</f>
        <v>54746.92887275172</v>
      </c>
      <c r="Q246" s="34">
        <f>SUM($G244:Q244)</f>
        <v>54746.92887275172</v>
      </c>
      <c r="R246" s="34">
        <f>SUM($G244:R244)</f>
        <v>54746.92887275172</v>
      </c>
      <c r="S246" s="34">
        <f>SUM($G244:S244)</f>
        <v>54746.92887275172</v>
      </c>
      <c r="T246" s="34">
        <f>SUM($G244:T244)</f>
        <v>54746.92887275172</v>
      </c>
      <c r="U246" s="34">
        <f>SUM($G244:U244)</f>
        <v>54746.92887275172</v>
      </c>
      <c r="V246" s="33"/>
    </row>
    <row r="248" spans="2:25" ht="20.100000000000001" customHeight="1">
      <c r="B248" s="20" t="s">
        <v>725</v>
      </c>
      <c r="C248" s="20"/>
      <c r="D248" s="20"/>
      <c r="E248" s="20"/>
      <c r="F248" s="20"/>
    </row>
    <row r="249" spans="2:25">
      <c r="B249" s="27" t="s">
        <v>726</v>
      </c>
      <c r="C249" s="33"/>
      <c r="D249" s="33" t="s">
        <v>359</v>
      </c>
      <c r="E249" s="33"/>
      <c r="F249" s="31">
        <f>SUMPRODUCT(($G$116:$U$116=1)*($G$244:$U$244))</f>
        <v>24502.110093398776</v>
      </c>
    </row>
    <row r="250" spans="2:25">
      <c r="B250" s="27" t="s">
        <v>727</v>
      </c>
      <c r="C250" s="33"/>
      <c r="D250" s="33" t="s">
        <v>359</v>
      </c>
      <c r="E250" s="33"/>
      <c r="F250" s="31">
        <f>SUMPRODUCT(($G$116:$U$116=2)*($G$244:$U$244))</f>
        <v>30244.81877935294</v>
      </c>
    </row>
    <row r="251" spans="2:25">
      <c r="B251" s="27" t="s">
        <v>728</v>
      </c>
      <c r="C251" s="33"/>
      <c r="D251" s="33" t="s">
        <v>359</v>
      </c>
      <c r="E251" s="33"/>
      <c r="F251" s="31">
        <f>SUMPRODUCT(($G$116:$U$116=3)*($G$244:$U$244))</f>
        <v>0</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55" priority="1">
      <formula>$G$75=""</formula>
    </cfRule>
  </conditionalFormatting>
  <conditionalFormatting sqref="B138:V150">
    <cfRule type="expression" dxfId="54" priority="2">
      <formula>$H$75=""</formula>
    </cfRule>
  </conditionalFormatting>
  <conditionalFormatting sqref="B152:V164">
    <cfRule type="expression" dxfId="53" priority="3">
      <formula>$I$75=""</formula>
    </cfRule>
  </conditionalFormatting>
  <conditionalFormatting sqref="B166:V178">
    <cfRule type="expression" dxfId="52" priority="4">
      <formula>$J$75=""</formula>
    </cfRule>
  </conditionalFormatting>
  <conditionalFormatting sqref="B180:V192">
    <cfRule type="expression" dxfId="51" priority="5">
      <formula>$K$75=""</formula>
    </cfRule>
  </conditionalFormatting>
  <conditionalFormatting sqref="F14">
    <cfRule type="expression" dxfId="50" priority="9">
      <formula>LEFT(F14,6)="Review"</formula>
    </cfRule>
  </conditionalFormatting>
  <conditionalFormatting sqref="G96:K96">
    <cfRule type="expression" dxfId="49" priority="8">
      <formula>AND(G96&lt;&gt;"",G96&lt;&gt;"OK")</formula>
    </cfRule>
  </conditionalFormatting>
  <conditionalFormatting sqref="G115:U246">
    <cfRule type="expression" dxfId="48" priority="6">
      <formula>G$117=0</formula>
    </cfRule>
  </conditionalFormatting>
  <conditionalFormatting sqref="G122:U122">
    <cfRule type="expression" dxfId="47" priority="7">
      <formula>LEFT(G122,7)="Carried"</formula>
    </cfRule>
  </conditionalFormatting>
  <dataValidations count="19">
    <dataValidation type="list" allowBlank="1" showErrorMessage="1" errorTitle="Invalid entry" error="Select a value from the list." sqref="F18" xr:uid="{00000000-0002-0000-0500-000000000000}">
      <formula1>L_Country</formula1>
    </dataValidation>
    <dataValidation type="list" allowBlank="1" showErrorMessage="1" errorTitle="Invalid entry" error="Select a value from the list." sqref="F20" xr:uid="{00000000-0002-0000-0500-000001000000}">
      <formula1>L_BOD</formula1>
    </dataValidation>
    <dataValidation type="list" allowBlank="1" showErrorMessage="1" errorTitle="Invalid entry" error="Select a value from the list." sqref="F43" xr:uid="{00000000-0002-0000-0500-000002000000}">
      <formula1>L_Ops</formula1>
    </dataValidation>
    <dataValidation type="list" allowBlank="1" showErrorMessage="1" errorTitle="Invalid entry" error="Select a value from the list." sqref="F45" xr:uid="{00000000-0002-0000-0500-000003000000}">
      <formula1>L_Elec</formula1>
    </dataValidation>
    <dataValidation type="list" allowBlank="1" showErrorMessage="1" errorTitle="Invalid entry" error="Select a value from the list." sqref="F48 F51" xr:uid="{00000000-0002-0000-0500-000004000000}">
      <formula1>L_Fuel</formula1>
    </dataValidation>
    <dataValidation type="list" allowBlank="1" showErrorMessage="1" errorTitle="Invalid entry" error="Select a value from the list." sqref="F50" xr:uid="{00000000-0002-0000-0500-000005000000}">
      <formula1>L_Transport</formula1>
    </dataValidation>
    <dataValidation type="date" showErrorMessage="1" error="Enter a date between 1 January 2026 and 31 December 2035." sqref="F42" xr:uid="{00000000-0002-0000-0500-000006000000}">
      <formula1>DATE(2026,1,1)</formula1>
      <formula2>DATE(2035,12,31)</formula2>
    </dataValidation>
    <dataValidation type="whole" allowBlank="1" showErrorMessage="1" error="Enter a value between 0 and 15." sqref="F44 G109:N109" xr:uid="{00000000-0002-0000-0500-000007000000}">
      <formula1>0</formula1>
      <formula2>15</formula2>
    </dataValidation>
    <dataValidation type="decimal" allowBlank="1" showErrorMessage="1" error="Enter a value between 0 and 1." sqref="G200:U201 G95:K95 E60:E63" xr:uid="{00000000-0002-0000-0500-000008000000}">
      <formula1>0</formula1>
      <formula2>1</formula2>
    </dataValidation>
    <dataValidation type="list" allowBlank="1" showErrorMessage="1" errorTitle="Invalid entry" error="Select a value from the list." sqref="F69" xr:uid="{00000000-0002-0000-0500-00000C000000}">
      <formula1>L_SDUAF</formula1>
    </dataValidation>
    <dataValidation type="list" allowBlank="1" showErrorMessage="1" errorTitle="Invalid entry" error="Select a value from the list." sqref="G75 H75 I75 J75 K75" xr:uid="{00000000-0002-0000-0500-00000D000000}">
      <formula1>L_Pathway</formula1>
    </dataValidation>
    <dataValidation type="list" allowBlank="1" showErrorMessage="1" errorTitle="Invalid entry" error="Select a value from the list." sqref="G77 H77 I77 J77 K77" xr:uid="{00000000-0002-0000-0500-00000E000000}">
      <formula1>L_Emptied</formula1>
    </dataValidation>
    <dataValidation type="list" allowBlank="1" showErrorMessage="1" errorTitle="Invalid entry" error="Select a value from the list." sqref="G78 H78 I78 J78 K78" xr:uid="{00000000-0002-0000-0500-00000F000000}">
      <formula1>L_Route</formula1>
    </dataValidation>
    <dataValidation type="list" allowBlank="1" showErrorMessage="1" errorTitle="Invalid entry" error="Select a value from the list." sqref="G81 H81 I81 J81 K81" xr:uid="{00000000-0002-0000-0500-000010000000}">
      <formula1>L_UAF</formula1>
    </dataValidation>
    <dataValidation type="list" allowBlank="1" showErrorMessage="1" errorTitle="Invalid entry" error="Select a value from the list." sqref="G86 G87 H86 H87 I86 I87 J86 J87 K86 K87" xr:uid="{00000000-0002-0000-0500-000011000000}">
      <formula1>L_Unit</formula1>
    </dataValidation>
    <dataValidation type="list" allowBlank="1" showErrorMessage="1" errorTitle="Invalid entry" error="Select a value from the list." sqref="G94 H94 I94 J94 K94" xr:uid="{00000000-0002-0000-0500-000012000000}">
      <formula1>L_YesNo</formula1>
    </dataValidation>
    <dataValidation type="list" allowBlank="1" showErrorMessage="1" errorTitle="Invalid entry" error="Select a value from the list." sqref="G101 H101 I101 J101 K101 L101 M101 N101" xr:uid="{00000000-0002-0000-0500-000018000000}">
      <formula1>L_Tier</formula1>
    </dataValidation>
    <dataValidation type="list" allowBlank="1" showErrorMessage="1" errorTitle="Invalid entry" error="Select a value from the list." sqref="G102 H102 I102 J102 K102 L102 M102 N102" xr:uid="{00000000-0002-0000-0500-000019000000}">
      <formula1>L_Material</formula1>
    </dataValidation>
    <dataValidation type="whole" allowBlank="1" showErrorMessage="1" error="Enter a value between 1 and 15." sqref="G108:N108" xr:uid="{00000000-0002-0000-0500-00001A000000}">
      <formula1>1</formula1>
      <formula2>15</formula2>
    </dataValidation>
  </dataValidations>
  <pageMargins left="0.75" right="0.75" top="1" bottom="1" header="0.5" footer="0.5"/>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747</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748</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74156.859475793026</v>
      </c>
    </row>
    <row r="7" spans="2:25">
      <c r="B7" s="30" t="s">
        <v>360</v>
      </c>
      <c r="C7" s="33"/>
      <c r="D7" s="33" t="s">
        <v>359</v>
      </c>
      <c r="E7" s="33"/>
      <c r="F7" s="31">
        <f>SUMPRODUCT(($G$114:$U$114&lt;=10)*($G$244:$U$244))</f>
        <v>74156.859475793026</v>
      </c>
    </row>
    <row r="8" spans="2:25">
      <c r="B8" s="27" t="s">
        <v>361</v>
      </c>
      <c r="C8" s="33"/>
      <c r="D8" s="33" t="s">
        <v>359</v>
      </c>
      <c r="E8" s="33"/>
      <c r="F8" s="34">
        <f>IF(SUM($G$117:$U$117)&gt;0,V244/SUM($G$117:$U$117),0)</f>
        <v>7415.6859475793026</v>
      </c>
    </row>
    <row r="9" spans="2:25">
      <c r="B9" s="27" t="s">
        <v>362</v>
      </c>
      <c r="C9" s="33"/>
      <c r="D9" s="33" t="s">
        <v>359</v>
      </c>
      <c r="E9" s="33"/>
      <c r="F9" s="34">
        <f>V202</f>
        <v>83192.513686315608</v>
      </c>
    </row>
    <row r="10" spans="2:25">
      <c r="B10" s="27" t="s">
        <v>363</v>
      </c>
      <c r="C10" s="33"/>
      <c r="D10" s="33" t="s">
        <v>359</v>
      </c>
      <c r="E10" s="33"/>
      <c r="F10" s="34">
        <f>V222</f>
        <v>5854.454210522571</v>
      </c>
    </row>
    <row r="11" spans="2:25">
      <c r="B11" s="27" t="s">
        <v>364</v>
      </c>
      <c r="C11" s="33"/>
      <c r="D11" s="33" t="s">
        <v>359</v>
      </c>
      <c r="E11" s="33"/>
      <c r="F11" s="34">
        <f>V240</f>
        <v>3181.2</v>
      </c>
    </row>
    <row r="12" spans="2:25">
      <c r="B12" s="27" t="s">
        <v>365</v>
      </c>
      <c r="C12" s="33"/>
      <c r="D12" s="33" t="s">
        <v>359</v>
      </c>
      <c r="E12" s="33"/>
      <c r="F12" s="34">
        <f>V203</f>
        <v>2701.1079822701422</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374</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3.6999999999999998E-2</v>
      </c>
      <c r="G19" s="94" t="str">
        <f>"Table 6.4 entry: "&amp;INDEX(Defaults!$C$32:$C$64,MATCH($F$18,Defaults!$B$32:$B$64,0))</f>
        <v>Table 6.4 entry: Africa</v>
      </c>
      <c r="H19" s="97"/>
      <c r="I19" s="97"/>
      <c r="J19" s="97"/>
      <c r="K19" s="97"/>
      <c r="L19" s="97"/>
      <c r="M19" s="97"/>
      <c r="N19" s="97"/>
      <c r="O19" s="97"/>
      <c r="P19" s="97"/>
      <c r="Q19" s="97"/>
      <c r="R19" s="97"/>
      <c r="S19" s="97"/>
      <c r="T19" s="97"/>
      <c r="U19" s="97"/>
      <c r="V19" s="97"/>
    </row>
    <row r="20" spans="2:22">
      <c r="B20" s="27" t="s">
        <v>380</v>
      </c>
      <c r="C20" s="33"/>
      <c r="D20" s="33"/>
      <c r="E20" s="33" t="s">
        <v>381</v>
      </c>
      <c r="F20" s="51" t="s">
        <v>749</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v>0.04</v>
      </c>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0.04</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v>0.15</v>
      </c>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0.15</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67.94</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3.9676959999999997</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2.76E-2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2.76E-2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10</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ht="22.5">
      <c r="B45" s="27" t="s">
        <v>441</v>
      </c>
      <c r="C45" s="33"/>
      <c r="D45" s="33"/>
      <c r="E45" s="33" t="s">
        <v>442</v>
      </c>
      <c r="F45" s="51" t="s">
        <v>443</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c r="G46" s="94"/>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1.3</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460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0</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732</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v>
      </c>
      <c r="F60" s="45">
        <f>C60*E60</f>
        <v>0</v>
      </c>
      <c r="G60" s="45">
        <f>(C60-D60)*E60</f>
        <v>0</v>
      </c>
    </row>
    <row r="61" spans="2:25">
      <c r="B61" s="27" t="s">
        <v>482</v>
      </c>
      <c r="C61" s="36">
        <f>INDEX(Defaults!$C$69:$C$79,MATCH(B61,Defaults!$B$69:$B$79,0))</f>
        <v>0.7</v>
      </c>
      <c r="D61" s="36">
        <f>IF(ISNUMBER(INDEX(Defaults!$D$69:$D$79,MATCH(B61,Defaults!$B$69:$B$79,0))),INDEX(Defaults!$D$69:$D$79,MATCH(B61,Defaults!$B$69:$B$79,0)),C61)</f>
        <v>0.7</v>
      </c>
      <c r="E61" s="53">
        <v>0</v>
      </c>
      <c r="F61" s="45">
        <f>C61*E61</f>
        <v>0</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v>
      </c>
      <c r="F62" s="45">
        <f>C62*E62</f>
        <v>0</v>
      </c>
      <c r="G62" s="45">
        <f>(C62-D62)*E62</f>
        <v>0</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0</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733</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0.56999999999999995</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734</v>
      </c>
      <c r="H74" s="51" t="s">
        <v>735</v>
      </c>
      <c r="I74" s="51" t="s">
        <v>736</v>
      </c>
      <c r="J74" s="51" t="s">
        <v>737</v>
      </c>
      <c r="K74" s="51"/>
    </row>
    <row r="75" spans="2:25" ht="44.1" customHeight="1">
      <c r="B75" s="27" t="s">
        <v>508</v>
      </c>
      <c r="C75" s="33" t="s">
        <v>509</v>
      </c>
      <c r="D75" s="33"/>
      <c r="E75" s="33" t="s">
        <v>510</v>
      </c>
      <c r="F75" s="33"/>
      <c r="G75" s="51" t="s">
        <v>482</v>
      </c>
      <c r="H75" s="51" t="s">
        <v>738</v>
      </c>
      <c r="I75" s="51" t="s">
        <v>482</v>
      </c>
      <c r="J75" s="51" t="s">
        <v>481</v>
      </c>
      <c r="K75" s="51"/>
    </row>
    <row r="76" spans="2:25">
      <c r="B76" s="27" t="s">
        <v>513</v>
      </c>
      <c r="C76" s="33"/>
      <c r="D76" s="33" t="s">
        <v>514</v>
      </c>
      <c r="E76" s="33" t="s">
        <v>515</v>
      </c>
      <c r="F76" s="33"/>
      <c r="G76" s="60"/>
      <c r="H76" s="60">
        <v>10</v>
      </c>
      <c r="I76" s="60"/>
      <c r="J76" s="60">
        <v>5</v>
      </c>
      <c r="K76" s="60"/>
    </row>
    <row r="77" spans="2:25" ht="44.1" customHeight="1">
      <c r="B77" s="27" t="s">
        <v>516</v>
      </c>
      <c r="C77" s="33"/>
      <c r="D77" s="33"/>
      <c r="E77" s="33" t="s">
        <v>517</v>
      </c>
      <c r="F77" s="33"/>
      <c r="G77" s="51" t="s">
        <v>518</v>
      </c>
      <c r="H77" s="51" t="s">
        <v>518</v>
      </c>
      <c r="I77" s="51" t="s">
        <v>739</v>
      </c>
      <c r="J77" s="51" t="s">
        <v>739</v>
      </c>
      <c r="K77" s="51"/>
    </row>
    <row r="78" spans="2:25" ht="44.1" customHeight="1">
      <c r="B78" s="27" t="s">
        <v>519</v>
      </c>
      <c r="C78" s="33"/>
      <c r="D78" s="33"/>
      <c r="E78" s="33" t="s">
        <v>520</v>
      </c>
      <c r="F78" s="33"/>
      <c r="G78" s="51" t="s">
        <v>521</v>
      </c>
      <c r="H78" s="51" t="s">
        <v>521</v>
      </c>
      <c r="I78" s="51" t="s">
        <v>521</v>
      </c>
      <c r="J78" s="51" t="s">
        <v>521</v>
      </c>
      <c r="K78" s="51"/>
    </row>
    <row r="79" spans="2:25">
      <c r="B79" s="27" t="s">
        <v>522</v>
      </c>
      <c r="C79" s="33" t="s">
        <v>490</v>
      </c>
      <c r="D79" s="33" t="s">
        <v>398</v>
      </c>
      <c r="E79" s="33" t="s">
        <v>125</v>
      </c>
      <c r="F79" s="33"/>
      <c r="G79" s="40">
        <v>0.8</v>
      </c>
      <c r="H79" s="40">
        <v>0.55000000000000004</v>
      </c>
      <c r="I79" s="40">
        <v>0.8</v>
      </c>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0.8</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0.55000000000000004</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0.8</v>
      </c>
      <c r="J80" s="61">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0.1</v>
      </c>
      <c r="K80" s="61" t="str">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
      </c>
    </row>
    <row r="81" spans="2:11" ht="22.5">
      <c r="B81" s="27" t="s">
        <v>525</v>
      </c>
      <c r="C81" s="33"/>
      <c r="D81" s="33"/>
      <c r="E81" s="33" t="s">
        <v>526</v>
      </c>
      <c r="F81" s="33"/>
      <c r="G81" s="51" t="s">
        <v>750</v>
      </c>
      <c r="H81" s="51" t="s">
        <v>750</v>
      </c>
      <c r="I81" s="51" t="s">
        <v>750</v>
      </c>
      <c r="J81" s="51" t="s">
        <v>527</v>
      </c>
      <c r="K81" s="51"/>
    </row>
    <row r="82" spans="2:11" ht="22.5">
      <c r="B82" s="27" t="s">
        <v>528</v>
      </c>
      <c r="C82" s="33" t="s">
        <v>493</v>
      </c>
      <c r="D82" s="33" t="s">
        <v>398</v>
      </c>
      <c r="E82" s="33" t="s">
        <v>529</v>
      </c>
      <c r="F82" s="33"/>
      <c r="G82" s="53">
        <v>0.15</v>
      </c>
      <c r="H82" s="53">
        <v>0.15</v>
      </c>
      <c r="I82" s="53">
        <v>0.15</v>
      </c>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0.75966831388682854</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0.75966831388682854</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0.75966831388682854</v>
      </c>
      <c r="J83" s="61">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0.56999999999999995</v>
      </c>
      <c r="K83" s="61" t="str">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
      </c>
    </row>
    <row r="84" spans="2:11" ht="22.5">
      <c r="B84" s="27" t="s">
        <v>532</v>
      </c>
      <c r="C84" s="33" t="s">
        <v>413</v>
      </c>
      <c r="D84" s="33" t="s">
        <v>414</v>
      </c>
      <c r="E84" s="33" t="s">
        <v>533</v>
      </c>
      <c r="F84" s="33"/>
      <c r="G84" s="39"/>
      <c r="H84" s="39"/>
      <c r="I84" s="39">
        <v>4.0000000000000001E-3</v>
      </c>
      <c r="J84" s="39">
        <v>3.0000000000000001E-3</v>
      </c>
      <c r="K84" s="39"/>
    </row>
    <row r="85" spans="2:11" ht="22.5">
      <c r="B85" s="27" t="s">
        <v>534</v>
      </c>
      <c r="C85" s="33" t="s">
        <v>535</v>
      </c>
      <c r="D85" s="33" t="s">
        <v>536</v>
      </c>
      <c r="E85" s="33" t="s">
        <v>168</v>
      </c>
      <c r="F85" s="33"/>
      <c r="G85" s="38"/>
      <c r="H85" s="38"/>
      <c r="I85" s="38">
        <v>1.5</v>
      </c>
      <c r="J85" s="38">
        <v>1.5</v>
      </c>
      <c r="K85" s="38"/>
    </row>
    <row r="86" spans="2:11" ht="44.1" customHeight="1">
      <c r="B86" s="27" t="s">
        <v>537</v>
      </c>
      <c r="C86" s="33" t="s">
        <v>538</v>
      </c>
      <c r="D86" s="33"/>
      <c r="E86" s="33" t="s">
        <v>539</v>
      </c>
      <c r="F86" s="33"/>
      <c r="G86" s="51" t="s">
        <v>540</v>
      </c>
      <c r="H86" s="51" t="s">
        <v>540</v>
      </c>
      <c r="I86" s="51" t="s">
        <v>740</v>
      </c>
      <c r="J86" s="51" t="s">
        <v>740</v>
      </c>
      <c r="K86" s="51"/>
    </row>
    <row r="87" spans="2:11" ht="44.1" customHeight="1">
      <c r="B87" s="27" t="s">
        <v>541</v>
      </c>
      <c r="C87" s="33" t="s">
        <v>538</v>
      </c>
      <c r="D87" s="33"/>
      <c r="E87" s="33" t="s">
        <v>539</v>
      </c>
      <c r="F87" s="33"/>
      <c r="G87" s="51" t="s">
        <v>460</v>
      </c>
      <c r="H87" s="51" t="s">
        <v>460</v>
      </c>
      <c r="I87" s="51" t="s">
        <v>460</v>
      </c>
      <c r="J87" s="51" t="s">
        <v>460</v>
      </c>
      <c r="K87" s="51"/>
    </row>
    <row r="88" spans="2:11">
      <c r="B88" s="27" t="s">
        <v>542</v>
      </c>
      <c r="C88" s="33"/>
      <c r="D88" s="33"/>
      <c r="E88" s="33"/>
      <c r="F88" s="33"/>
      <c r="G88" s="44" t="str">
        <f>IF(G86="","NONE",INDEX(Defaults!$C$91:$C$101,MATCH(G86,Defaults!$B$91:$B$101,0)))</f>
        <v>COMP</v>
      </c>
      <c r="H88" s="44" t="str">
        <f>IF(H86="","NONE",INDEX(Defaults!$C$91:$C$101,MATCH(H86,Defaults!$B$91:$B$101,0)))</f>
        <v>COMP</v>
      </c>
      <c r="I88" s="44" t="str">
        <f>IF(I86="","NONE",INDEX(Defaults!$C$91:$C$101,MATCH(I86,Defaults!$B$91:$B$101,0)))</f>
        <v>FST</v>
      </c>
      <c r="J88" s="44" t="str">
        <f>IF(J86="","NONE",INDEX(Defaults!$C$91:$C$101,MATCH(J86,Defaults!$B$91:$B$101,0)))</f>
        <v>FST</v>
      </c>
      <c r="K88" s="44" t="str">
        <f>IF(K86="","NONE",INDEX(Defaults!$C$91:$C$101,MATCH(K86,Defaults!$B$91:$B$101,0)))</f>
        <v>NONE</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NONE</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0.2</v>
      </c>
      <c r="J90" s="41">
        <f>IF(J86="",0,INDEX(Defaults!$D$91:$D$101,MATCH(J86,Defaults!$B$91:$B$101,0)))</f>
        <v>0.2</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1.6E-2</v>
      </c>
      <c r="J92" s="45">
        <f>IF(J86="",0,INDEX(Defaults!$F$91:$F$101,MATCH(J86,Defaults!$B$91:$B$101,0)))</f>
        <v>1.6E-2</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t="s">
        <v>552</v>
      </c>
      <c r="K94" s="51"/>
    </row>
    <row r="95" spans="2:11" ht="44.1" customHeight="1">
      <c r="B95" s="27" t="s">
        <v>553</v>
      </c>
      <c r="C95" s="33"/>
      <c r="D95" s="33" t="s">
        <v>398</v>
      </c>
      <c r="E95" s="33" t="s">
        <v>466</v>
      </c>
      <c r="F95" s="33"/>
      <c r="G95" s="53">
        <v>0</v>
      </c>
      <c r="H95" s="53">
        <v>0</v>
      </c>
      <c r="I95" s="53">
        <v>0</v>
      </c>
      <c r="J95" s="53">
        <v>0</v>
      </c>
      <c r="K95" s="53"/>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OK</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564</v>
      </c>
      <c r="H100" s="51" t="s">
        <v>565</v>
      </c>
      <c r="I100" s="51" t="s">
        <v>566</v>
      </c>
      <c r="J100" s="51" t="s">
        <v>568</v>
      </c>
      <c r="K100" s="51" t="s">
        <v>741</v>
      </c>
      <c r="L100" s="51" t="s">
        <v>742</v>
      </c>
      <c r="M100" s="51" t="s">
        <v>743</v>
      </c>
      <c r="N100" s="51" t="s">
        <v>744</v>
      </c>
    </row>
    <row r="101" spans="2:25">
      <c r="B101" s="27" t="s">
        <v>572</v>
      </c>
      <c r="C101" s="33"/>
      <c r="D101" s="33"/>
      <c r="E101" s="33" t="s">
        <v>573</v>
      </c>
      <c r="F101" s="33"/>
      <c r="G101" s="51" t="s">
        <v>574</v>
      </c>
      <c r="H101" s="51" t="s">
        <v>574</v>
      </c>
      <c r="I101" s="51" t="s">
        <v>574</v>
      </c>
      <c r="J101" s="51" t="s">
        <v>575</v>
      </c>
      <c r="K101" s="51" t="s">
        <v>576</v>
      </c>
      <c r="L101" s="51" t="s">
        <v>576</v>
      </c>
      <c r="M101" s="51" t="s">
        <v>576</v>
      </c>
      <c r="N101" s="51" t="s">
        <v>576</v>
      </c>
    </row>
    <row r="102" spans="2:25" ht="30" customHeight="1">
      <c r="B102" s="27" t="s">
        <v>577</v>
      </c>
      <c r="C102" s="33" t="s">
        <v>578</v>
      </c>
      <c r="D102" s="33"/>
      <c r="E102" s="33" t="s">
        <v>579</v>
      </c>
      <c r="F102" s="33"/>
      <c r="G102" s="51" t="s">
        <v>580</v>
      </c>
      <c r="H102" s="51" t="s">
        <v>580</v>
      </c>
      <c r="I102" s="51" t="s">
        <v>580</v>
      </c>
      <c r="J102" s="51" t="s">
        <v>581</v>
      </c>
      <c r="K102" s="51" t="s">
        <v>583</v>
      </c>
      <c r="L102" s="51" t="s">
        <v>583</v>
      </c>
      <c r="M102" s="51" t="s">
        <v>582</v>
      </c>
      <c r="N102" s="51" t="s">
        <v>582</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2.5</v>
      </c>
      <c r="H104" s="41">
        <f>IF(H102="","",IF(ISNUMBER(H103),H103,INDEX(Defaults!$D$112:$D$126,MATCH(H102,Defaults!$B$112:$B$126,0))))</f>
        <v>2.5</v>
      </c>
      <c r="I104" s="41">
        <f>IF(I102="","",IF(ISNUMBER(I103),I103,INDEX(Defaults!$D$112:$D$126,MATCH(I102,Defaults!$B$112:$B$126,0))))</f>
        <v>2.5</v>
      </c>
      <c r="J104" s="41">
        <f>IF(J102="","",IF(ISNUMBER(J103),J103,INDEX(Defaults!$D$112:$D$126,MATCH(J102,Defaults!$B$112:$B$126,0))))</f>
        <v>0.13</v>
      </c>
      <c r="K104" s="41">
        <f>IF(K102="","",IF(ISNUMBER(K103),K103,INDEX(Defaults!$D$112:$D$126,MATCH(K102,Defaults!$B$112:$B$126,0))))</f>
        <v>0.18</v>
      </c>
      <c r="L104" s="41">
        <f>IF(L102="","",IF(ISNUMBER(L103),L103,INDEX(Defaults!$D$112:$D$126,MATCH(L102,Defaults!$B$112:$B$126,0))))</f>
        <v>0.18</v>
      </c>
      <c r="M104" s="41">
        <f>IF(M102="","",IF(ISNUMBER(M103),M103,INDEX(Defaults!$D$112:$D$126,MATCH(M102,Defaults!$B$112:$B$126,0))))</f>
        <v>1.6</v>
      </c>
      <c r="N104" s="41">
        <f>IF(N102="","",IF(ISNUMBER(N103),N103,INDEX(Defaults!$D$112:$D$126,MATCH(N102,Defaults!$B$112:$B$126,0))))</f>
        <v>1.6</v>
      </c>
    </row>
    <row r="105" spans="2:25">
      <c r="B105" s="27" t="s">
        <v>589</v>
      </c>
      <c r="C105" s="33" t="s">
        <v>590</v>
      </c>
      <c r="D105" s="33" t="s">
        <v>591</v>
      </c>
      <c r="E105" s="33" t="s">
        <v>260</v>
      </c>
      <c r="F105" s="33"/>
      <c r="G105" s="63">
        <v>10</v>
      </c>
      <c r="H105" s="63">
        <v>10</v>
      </c>
      <c r="I105" s="63">
        <v>10</v>
      </c>
      <c r="J105" s="63">
        <v>6000</v>
      </c>
      <c r="K105" s="63">
        <v>1500000</v>
      </c>
      <c r="L105" s="63">
        <v>400000</v>
      </c>
      <c r="M105" s="63">
        <v>9000</v>
      </c>
      <c r="N105" s="63">
        <v>7000</v>
      </c>
    </row>
    <row r="106" spans="2:25">
      <c r="B106" s="27" t="s">
        <v>592</v>
      </c>
      <c r="C106" s="33"/>
      <c r="D106" s="33" t="s">
        <v>593</v>
      </c>
      <c r="E106" s="33"/>
      <c r="F106" s="33"/>
      <c r="G106" s="63">
        <v>12800</v>
      </c>
      <c r="H106" s="63">
        <v>12800</v>
      </c>
      <c r="I106" s="63">
        <v>6400</v>
      </c>
      <c r="J106" s="63">
        <v>40</v>
      </c>
      <c r="K106" s="63">
        <v>1</v>
      </c>
      <c r="L106" s="63">
        <v>1</v>
      </c>
      <c r="M106" s="63">
        <v>3</v>
      </c>
      <c r="N106" s="63">
        <v>4</v>
      </c>
    </row>
    <row r="107" spans="2:25">
      <c r="B107" s="27" t="s">
        <v>594</v>
      </c>
      <c r="C107" s="33"/>
      <c r="D107" s="33" t="s">
        <v>359</v>
      </c>
      <c r="E107" s="33" t="s">
        <v>174</v>
      </c>
      <c r="F107" s="33"/>
      <c r="G107" s="34">
        <f t="shared" ref="G107:N107" si="0">IF(OR(G102="",G101=""),0,N(G105)*N(G106)*N(G104)/1000)</f>
        <v>320</v>
      </c>
      <c r="H107" s="34">
        <f t="shared" si="0"/>
        <v>320</v>
      </c>
      <c r="I107" s="34">
        <f t="shared" si="0"/>
        <v>160</v>
      </c>
      <c r="J107" s="34">
        <f t="shared" si="0"/>
        <v>31.2</v>
      </c>
      <c r="K107" s="34">
        <f t="shared" si="0"/>
        <v>270</v>
      </c>
      <c r="L107" s="34">
        <f t="shared" si="0"/>
        <v>72</v>
      </c>
      <c r="M107" s="34">
        <f t="shared" si="0"/>
        <v>43.2</v>
      </c>
      <c r="N107" s="34">
        <f t="shared" si="0"/>
        <v>44.8</v>
      </c>
    </row>
    <row r="108" spans="2:25">
      <c r="B108" s="27" t="s">
        <v>595</v>
      </c>
      <c r="C108" s="33"/>
      <c r="D108" s="33" t="s">
        <v>439</v>
      </c>
      <c r="E108" s="33" t="s">
        <v>174</v>
      </c>
      <c r="F108" s="33"/>
      <c r="G108" s="60">
        <v>1</v>
      </c>
      <c r="H108" s="60">
        <v>2</v>
      </c>
      <c r="I108" s="60">
        <v>3</v>
      </c>
      <c r="J108" s="60">
        <v>1</v>
      </c>
      <c r="K108" s="60">
        <v>1</v>
      </c>
      <c r="L108" s="60">
        <v>1</v>
      </c>
      <c r="M108" s="60">
        <v>1</v>
      </c>
      <c r="N108" s="60">
        <v>1</v>
      </c>
    </row>
    <row r="109" spans="2:25">
      <c r="B109" s="27" t="s">
        <v>596</v>
      </c>
      <c r="C109" s="33"/>
      <c r="D109" s="33" t="s">
        <v>436</v>
      </c>
      <c r="E109" s="33" t="s">
        <v>597</v>
      </c>
      <c r="F109" s="33"/>
      <c r="G109" s="60">
        <v>3</v>
      </c>
      <c r="H109" s="60">
        <v>3</v>
      </c>
      <c r="I109" s="60">
        <v>3</v>
      </c>
      <c r="J109" s="60"/>
      <c r="K109" s="60"/>
      <c r="L109" s="60"/>
      <c r="M109" s="60"/>
      <c r="N109" s="60"/>
    </row>
    <row r="110" spans="2:25">
      <c r="B110" s="27" t="s">
        <v>598</v>
      </c>
      <c r="C110" s="33" t="s">
        <v>599</v>
      </c>
      <c r="D110" s="33" t="s">
        <v>436</v>
      </c>
      <c r="E110" s="33" t="s">
        <v>573</v>
      </c>
      <c r="F110" s="33"/>
      <c r="G110" s="48">
        <f t="shared" ref="G110:N110" si="1">IF(G101="","",IF(G101="Tier 1",1,5))</f>
        <v>1</v>
      </c>
      <c r="H110" s="48">
        <f t="shared" si="1"/>
        <v>1</v>
      </c>
      <c r="I110" s="48">
        <f t="shared" si="1"/>
        <v>1</v>
      </c>
      <c r="J110" s="48">
        <f t="shared" si="1"/>
        <v>5</v>
      </c>
      <c r="K110" s="48">
        <f t="shared" si="1"/>
        <v>5</v>
      </c>
      <c r="L110" s="48">
        <f t="shared" si="1"/>
        <v>5</v>
      </c>
      <c r="M110" s="48">
        <f t="shared" si="1"/>
        <v>5</v>
      </c>
      <c r="N110" s="48">
        <f t="shared" si="1"/>
        <v>5</v>
      </c>
    </row>
    <row r="111" spans="2:25">
      <c r="B111" s="27" t="s">
        <v>600</v>
      </c>
      <c r="C111" s="33"/>
      <c r="D111" s="33" t="s">
        <v>432</v>
      </c>
      <c r="E111" s="33" t="s">
        <v>174</v>
      </c>
      <c r="F111" s="33"/>
      <c r="G111" s="64">
        <f t="shared" ref="G111:N111" si="2">IF(G101="","",IF(N(G108)&lt;=1,$F$42,DATE(YEAR($F$42)+G108-1,1,1)))</f>
        <v>46388</v>
      </c>
      <c r="H111" s="64">
        <f t="shared" si="2"/>
        <v>46753</v>
      </c>
      <c r="I111" s="64">
        <f t="shared" si="2"/>
        <v>47119</v>
      </c>
      <c r="J111" s="64">
        <f t="shared" si="2"/>
        <v>46388</v>
      </c>
      <c r="K111" s="64">
        <f t="shared" si="2"/>
        <v>46388</v>
      </c>
      <c r="L111" s="64">
        <f t="shared" si="2"/>
        <v>46388</v>
      </c>
      <c r="M111" s="64">
        <f t="shared" si="2"/>
        <v>46388</v>
      </c>
      <c r="N111" s="64">
        <f t="shared" si="2"/>
        <v>46388</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0</v>
      </c>
      <c r="R117" s="48">
        <f t="shared" si="6"/>
        <v>0</v>
      </c>
      <c r="S117" s="48">
        <f t="shared" si="6"/>
        <v>0</v>
      </c>
      <c r="T117" s="48">
        <f t="shared" si="6"/>
        <v>0</v>
      </c>
      <c r="U117" s="48">
        <f t="shared" si="6"/>
        <v>0</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365</v>
      </c>
      <c r="P120" s="67">
        <f t="shared" si="9"/>
        <v>366</v>
      </c>
      <c r="Q120" s="67">
        <f t="shared" si="9"/>
        <v>0</v>
      </c>
      <c r="R120" s="67">
        <f t="shared" si="9"/>
        <v>0</v>
      </c>
      <c r="S120" s="67">
        <f t="shared" si="9"/>
        <v>0</v>
      </c>
      <c r="T120" s="67">
        <f t="shared" si="9"/>
        <v>0</v>
      </c>
      <c r="U120" s="67">
        <f t="shared" si="9"/>
        <v>0</v>
      </c>
      <c r="V120" s="67">
        <f>SUMPRODUCT($G$117:$U$117,G120:U120)</f>
        <v>3653</v>
      </c>
    </row>
    <row r="121" spans="2:25">
      <c r="B121" s="27" t="s">
        <v>612</v>
      </c>
      <c r="C121" s="33" t="s">
        <v>233</v>
      </c>
      <c r="D121" s="33" t="s">
        <v>398</v>
      </c>
      <c r="E121" s="33" t="s">
        <v>232</v>
      </c>
      <c r="F121" s="33"/>
      <c r="G121" s="58">
        <f t="shared" ref="G121:U121" si="10">IF(G$117=0,0,IF(G$115&lt;=2030,$F$39,IF(G$115&lt;=2035,IF(ISNUMBER($F$40),$F$40,$F$39),IF(ISNUMBER($F$41),$F$41,IF(ISNUMBER($F$40),$F$40,$F$39)))))</f>
        <v>2.76E-2</v>
      </c>
      <c r="H121" s="58">
        <f t="shared" si="10"/>
        <v>2.76E-2</v>
      </c>
      <c r="I121" s="58">
        <f t="shared" si="10"/>
        <v>2.76E-2</v>
      </c>
      <c r="J121" s="58">
        <f t="shared" si="10"/>
        <v>2.76E-2</v>
      </c>
      <c r="K121" s="58">
        <f t="shared" si="10"/>
        <v>2.76E-2</v>
      </c>
      <c r="L121" s="58">
        <f t="shared" si="10"/>
        <v>2.76E-2</v>
      </c>
      <c r="M121" s="58">
        <f t="shared" si="10"/>
        <v>2.76E-2</v>
      </c>
      <c r="N121" s="58">
        <f t="shared" si="10"/>
        <v>2.76E-2</v>
      </c>
      <c r="O121" s="58">
        <f t="shared" si="10"/>
        <v>2.76E-2</v>
      </c>
      <c r="P121" s="58">
        <f t="shared" si="10"/>
        <v>2.76E-2</v>
      </c>
      <c r="Q121" s="58">
        <f t="shared" si="10"/>
        <v>0</v>
      </c>
      <c r="R121" s="58">
        <f t="shared" si="10"/>
        <v>0</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
      </c>
      <c r="R122" s="44" t="str">
        <f t="shared" si="11"/>
        <v/>
      </c>
      <c r="S122" s="44" t="str">
        <f t="shared" si="11"/>
        <v/>
      </c>
      <c r="T122" s="44" t="str">
        <f t="shared" si="11"/>
        <v/>
      </c>
      <c r="U122" s="44" t="str">
        <f t="shared" si="11"/>
        <v/>
      </c>
      <c r="V122" s="33"/>
    </row>
    <row r="123" spans="2:25" ht="22.5">
      <c r="B123" s="25" t="str">
        <f>"Stratum 1: "&amp;IF(G$74="","not used",G$74)</f>
        <v>Stratum 1: Wet pit latrines decommissioned; households moved to CBS</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20000</v>
      </c>
      <c r="H124" s="63">
        <v>40000</v>
      </c>
      <c r="I124" s="63">
        <v>50000</v>
      </c>
      <c r="J124" s="63">
        <v>50000</v>
      </c>
      <c r="K124" s="63">
        <v>50000</v>
      </c>
      <c r="L124" s="63">
        <v>50000</v>
      </c>
      <c r="M124" s="63">
        <v>50000</v>
      </c>
      <c r="N124" s="63">
        <v>50000</v>
      </c>
      <c r="O124" s="63">
        <v>50000</v>
      </c>
      <c r="P124" s="63">
        <v>50000</v>
      </c>
      <c r="Q124" s="63">
        <v>50000</v>
      </c>
      <c r="R124" s="63">
        <v>50000</v>
      </c>
      <c r="S124" s="63">
        <v>50000</v>
      </c>
      <c r="T124" s="63">
        <v>50000</v>
      </c>
      <c r="U124" s="63">
        <v>50000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1</v>
      </c>
      <c r="P127" s="45">
        <f t="shared" si="13"/>
        <v>1</v>
      </c>
      <c r="Q127" s="45">
        <f t="shared" si="13"/>
        <v>0</v>
      </c>
      <c r="R127" s="45">
        <f t="shared" si="13"/>
        <v>0</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3924.48</v>
      </c>
      <c r="H128" s="34">
        <f t="shared" si="14"/>
        <v>7870.4639999999999</v>
      </c>
      <c r="I128" s="34">
        <f t="shared" si="14"/>
        <v>9811.2000000000007</v>
      </c>
      <c r="J128" s="34">
        <f t="shared" si="14"/>
        <v>9811.2000000000007</v>
      </c>
      <c r="K128" s="34">
        <f t="shared" si="14"/>
        <v>9811.2000000000007</v>
      </c>
      <c r="L128" s="34">
        <f t="shared" si="14"/>
        <v>9838.08</v>
      </c>
      <c r="M128" s="34">
        <f t="shared" si="14"/>
        <v>9811.2000000000007</v>
      </c>
      <c r="N128" s="34">
        <f t="shared" si="14"/>
        <v>9811.2000000000007</v>
      </c>
      <c r="O128" s="34">
        <f t="shared" si="14"/>
        <v>9811.2000000000007</v>
      </c>
      <c r="P128" s="34">
        <f t="shared" si="14"/>
        <v>9838.08</v>
      </c>
      <c r="Q128" s="34">
        <f t="shared" si="14"/>
        <v>0</v>
      </c>
      <c r="R128" s="34">
        <f t="shared" si="14"/>
        <v>0</v>
      </c>
      <c r="S128" s="34">
        <f t="shared" si="14"/>
        <v>0</v>
      </c>
      <c r="T128" s="34">
        <f t="shared" si="14"/>
        <v>0</v>
      </c>
      <c r="U128" s="34">
        <f t="shared" si="14"/>
        <v>0</v>
      </c>
      <c r="V128" s="34">
        <f t="shared" ref="V128:V136" si="15">SUMPRODUCT($G$117:$U$117,G128:U128)</f>
        <v>90338.304000000004</v>
      </c>
    </row>
    <row r="129" spans="2:25">
      <c r="B129" s="27" t="s">
        <v>628</v>
      </c>
      <c r="C129" s="33" t="s">
        <v>629</v>
      </c>
      <c r="D129" s="33" t="s">
        <v>359</v>
      </c>
      <c r="E129" s="33" t="s">
        <v>129</v>
      </c>
      <c r="F129" s="33"/>
      <c r="G129" s="34">
        <f t="shared" ref="G129:U129" si="16">IF($G$75="",0,G128*$G$83)</f>
        <v>2981.3031044825807</v>
      </c>
      <c r="H129" s="34">
        <f t="shared" si="16"/>
        <v>5978.9421163869838</v>
      </c>
      <c r="I129" s="34">
        <f t="shared" si="16"/>
        <v>7453.2577612064524</v>
      </c>
      <c r="J129" s="34">
        <f t="shared" si="16"/>
        <v>7453.2577612064524</v>
      </c>
      <c r="K129" s="34">
        <f t="shared" si="16"/>
        <v>7453.2577612064524</v>
      </c>
      <c r="L129" s="34">
        <f t="shared" si="16"/>
        <v>7473.67764548373</v>
      </c>
      <c r="M129" s="34">
        <f t="shared" si="16"/>
        <v>7453.2577612064524</v>
      </c>
      <c r="N129" s="34">
        <f t="shared" si="16"/>
        <v>7453.2577612064524</v>
      </c>
      <c r="O129" s="34">
        <f t="shared" si="16"/>
        <v>7453.2577612064524</v>
      </c>
      <c r="P129" s="34">
        <f t="shared" si="16"/>
        <v>7473.67764548373</v>
      </c>
      <c r="Q129" s="34">
        <f t="shared" si="16"/>
        <v>0</v>
      </c>
      <c r="R129" s="34">
        <f t="shared" si="16"/>
        <v>0</v>
      </c>
      <c r="S129" s="34">
        <f t="shared" si="16"/>
        <v>0</v>
      </c>
      <c r="T129" s="34">
        <f t="shared" si="16"/>
        <v>0</v>
      </c>
      <c r="U129" s="34">
        <f t="shared" si="16"/>
        <v>0</v>
      </c>
      <c r="V129" s="34">
        <f t="shared" si="15"/>
        <v>68627.14707907573</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2533.7427273102048</v>
      </c>
      <c r="H136" s="34">
        <f t="shared" si="23"/>
        <v>5082.5317610766851</v>
      </c>
      <c r="I136" s="34">
        <f t="shared" si="23"/>
        <v>6335.8063278449126</v>
      </c>
      <c r="J136" s="34">
        <f t="shared" si="23"/>
        <v>6335.8063278449126</v>
      </c>
      <c r="K136" s="34">
        <f t="shared" si="23"/>
        <v>6335.8063278449126</v>
      </c>
      <c r="L136" s="34">
        <f t="shared" si="23"/>
        <v>6353.1647013458569</v>
      </c>
      <c r="M136" s="34">
        <f t="shared" si="23"/>
        <v>6335.8063278449126</v>
      </c>
      <c r="N136" s="34">
        <f t="shared" si="23"/>
        <v>6335.8063278449126</v>
      </c>
      <c r="O136" s="34">
        <f t="shared" si="23"/>
        <v>6335.8063278449126</v>
      </c>
      <c r="P136" s="34">
        <f t="shared" si="23"/>
        <v>6353.1647013458569</v>
      </c>
      <c r="Q136" s="34">
        <f t="shared" si="23"/>
        <v>0</v>
      </c>
      <c r="R136" s="34">
        <f t="shared" si="23"/>
        <v>0</v>
      </c>
      <c r="S136" s="34">
        <f t="shared" si="23"/>
        <v>0</v>
      </c>
      <c r="T136" s="34">
        <f t="shared" si="23"/>
        <v>0</v>
      </c>
      <c r="U136" s="34">
        <f t="shared" si="23"/>
        <v>0</v>
      </c>
      <c r="V136" s="34">
        <f t="shared" si="15"/>
        <v>58337.441858148071</v>
      </c>
      <c r="Y136" s="50" t="s">
        <v>643</v>
      </c>
    </row>
    <row r="137" spans="2:25" ht="22.5">
      <c r="B137" s="25" t="str">
        <f>"Stratum 2: "&amp;IF(H$74="","not used",H$74)</f>
        <v>Stratum 2: Shared dry pits (10 persons per pit) decommissioned; CBS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12000</v>
      </c>
      <c r="H138" s="63">
        <v>24000</v>
      </c>
      <c r="I138" s="63">
        <v>30000</v>
      </c>
      <c r="J138" s="63">
        <v>30000</v>
      </c>
      <c r="K138" s="63">
        <v>30000</v>
      </c>
      <c r="L138" s="63">
        <v>30000</v>
      </c>
      <c r="M138" s="63">
        <v>30000</v>
      </c>
      <c r="N138" s="63">
        <v>30000</v>
      </c>
      <c r="O138" s="63">
        <v>30000</v>
      </c>
      <c r="P138" s="63">
        <v>30000</v>
      </c>
      <c r="Q138" s="63">
        <v>30000</v>
      </c>
      <c r="R138" s="63">
        <v>30000</v>
      </c>
      <c r="S138" s="63">
        <v>30000</v>
      </c>
      <c r="T138" s="63">
        <v>30000</v>
      </c>
      <c r="U138" s="63">
        <v>30000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v>
      </c>
      <c r="H141" s="45">
        <f t="shared" si="25"/>
        <v>1</v>
      </c>
      <c r="I141" s="45">
        <f t="shared" si="25"/>
        <v>1</v>
      </c>
      <c r="J141" s="45">
        <f t="shared" si="25"/>
        <v>1</v>
      </c>
      <c r="K141" s="45">
        <f t="shared" si="25"/>
        <v>1</v>
      </c>
      <c r="L141" s="45">
        <f t="shared" si="25"/>
        <v>1</v>
      </c>
      <c r="M141" s="45">
        <f t="shared" si="25"/>
        <v>1</v>
      </c>
      <c r="N141" s="45">
        <f t="shared" si="25"/>
        <v>1</v>
      </c>
      <c r="O141" s="45">
        <f t="shared" si="25"/>
        <v>1</v>
      </c>
      <c r="P141" s="45">
        <f t="shared" si="25"/>
        <v>1</v>
      </c>
      <c r="Q141" s="45">
        <f t="shared" si="25"/>
        <v>0</v>
      </c>
      <c r="R141" s="45">
        <f t="shared" si="25"/>
        <v>0</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1618.8480000000002</v>
      </c>
      <c r="H142" s="34">
        <f t="shared" si="26"/>
        <v>3246.5663999999997</v>
      </c>
      <c r="I142" s="34">
        <f t="shared" si="26"/>
        <v>4047.12</v>
      </c>
      <c r="J142" s="34">
        <f t="shared" si="26"/>
        <v>4047.12</v>
      </c>
      <c r="K142" s="34">
        <f t="shared" si="26"/>
        <v>4047.12</v>
      </c>
      <c r="L142" s="34">
        <f t="shared" si="26"/>
        <v>4058.2080000000001</v>
      </c>
      <c r="M142" s="34">
        <f t="shared" si="26"/>
        <v>4047.12</v>
      </c>
      <c r="N142" s="34">
        <f t="shared" si="26"/>
        <v>4047.12</v>
      </c>
      <c r="O142" s="34">
        <f t="shared" si="26"/>
        <v>4047.12</v>
      </c>
      <c r="P142" s="34">
        <f t="shared" si="26"/>
        <v>4058.2080000000001</v>
      </c>
      <c r="Q142" s="34">
        <f t="shared" si="26"/>
        <v>0</v>
      </c>
      <c r="R142" s="34">
        <f t="shared" si="26"/>
        <v>0</v>
      </c>
      <c r="S142" s="34">
        <f t="shared" si="26"/>
        <v>0</v>
      </c>
      <c r="T142" s="34">
        <f t="shared" si="26"/>
        <v>0</v>
      </c>
      <c r="U142" s="34">
        <f t="shared" si="26"/>
        <v>0</v>
      </c>
      <c r="V142" s="34">
        <f t="shared" ref="V142:V150" si="27">SUMPRODUCT($G$117:$U$117,G142:U142)</f>
        <v>37264.550399999993</v>
      </c>
    </row>
    <row r="143" spans="2:25">
      <c r="B143" s="27" t="s">
        <v>628</v>
      </c>
      <c r="C143" s="33" t="s">
        <v>629</v>
      </c>
      <c r="D143" s="33" t="s">
        <v>359</v>
      </c>
      <c r="E143" s="33" t="s">
        <v>129</v>
      </c>
      <c r="F143" s="33"/>
      <c r="G143" s="34">
        <f t="shared" ref="G143:U143" si="28">IF($H$75="",0,G142*$H$83)</f>
        <v>1229.7875305990647</v>
      </c>
      <c r="H143" s="34">
        <f t="shared" si="28"/>
        <v>2466.3136230096306</v>
      </c>
      <c r="I143" s="34">
        <f t="shared" si="28"/>
        <v>3074.4688264976612</v>
      </c>
      <c r="J143" s="34">
        <f t="shared" si="28"/>
        <v>3074.4688264976612</v>
      </c>
      <c r="K143" s="34">
        <f t="shared" si="28"/>
        <v>3074.4688264976612</v>
      </c>
      <c r="L143" s="34">
        <f t="shared" si="28"/>
        <v>3082.8920287620385</v>
      </c>
      <c r="M143" s="34">
        <f t="shared" si="28"/>
        <v>3074.4688264976612</v>
      </c>
      <c r="N143" s="34">
        <f t="shared" si="28"/>
        <v>3074.4688264976612</v>
      </c>
      <c r="O143" s="34">
        <f t="shared" si="28"/>
        <v>3074.4688264976612</v>
      </c>
      <c r="P143" s="34">
        <f t="shared" si="28"/>
        <v>3082.8920287620385</v>
      </c>
      <c r="Q143" s="34">
        <f t="shared" si="28"/>
        <v>0</v>
      </c>
      <c r="R143" s="34">
        <f t="shared" si="28"/>
        <v>0</v>
      </c>
      <c r="S143" s="34">
        <f t="shared" si="28"/>
        <v>0</v>
      </c>
      <c r="T143" s="34">
        <f t="shared" si="28"/>
        <v>0</v>
      </c>
      <c r="U143" s="34">
        <f t="shared" si="28"/>
        <v>0</v>
      </c>
      <c r="V143" s="34">
        <f t="shared" si="27"/>
        <v>28308.69817011874</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1045.1688750154597</v>
      </c>
      <c r="H150" s="34">
        <f t="shared" si="35"/>
        <v>2096.5443514441326</v>
      </c>
      <c r="I150" s="34">
        <f t="shared" si="35"/>
        <v>2613.5201102360265</v>
      </c>
      <c r="J150" s="34">
        <f t="shared" si="35"/>
        <v>2613.5201102360265</v>
      </c>
      <c r="K150" s="34">
        <f t="shared" si="35"/>
        <v>2613.5201102360265</v>
      </c>
      <c r="L150" s="34">
        <f t="shared" si="35"/>
        <v>2620.6804393051661</v>
      </c>
      <c r="M150" s="34">
        <f t="shared" si="35"/>
        <v>2613.5201102360265</v>
      </c>
      <c r="N150" s="34">
        <f t="shared" si="35"/>
        <v>2613.5201102360265</v>
      </c>
      <c r="O150" s="34">
        <f t="shared" si="35"/>
        <v>2613.5201102360265</v>
      </c>
      <c r="P150" s="34">
        <f t="shared" si="35"/>
        <v>2620.6804393051661</v>
      </c>
      <c r="Q150" s="34">
        <f t="shared" si="35"/>
        <v>0</v>
      </c>
      <c r="R150" s="34">
        <f t="shared" si="35"/>
        <v>0</v>
      </c>
      <c r="S150" s="34">
        <f t="shared" si="35"/>
        <v>0</v>
      </c>
      <c r="T150" s="34">
        <f t="shared" si="35"/>
        <v>0</v>
      </c>
      <c r="U150" s="34">
        <f t="shared" si="35"/>
        <v>0</v>
      </c>
      <c r="V150" s="34">
        <f t="shared" si="27"/>
        <v>24064.194766486085</v>
      </c>
    </row>
    <row r="151" spans="2:25" ht="22.5">
      <c r="B151" s="25" t="str">
        <f>"Stratum 3: "&amp;IF(I$74="","not used",I$74)</f>
        <v>Stratum 3: Wet pit latrines remaining in use, emptied by the activity</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15000</v>
      </c>
      <c r="H152" s="63">
        <v>15000</v>
      </c>
      <c r="I152" s="63">
        <v>15000</v>
      </c>
      <c r="J152" s="63">
        <v>15000</v>
      </c>
      <c r="K152" s="63">
        <v>15000</v>
      </c>
      <c r="L152" s="63">
        <v>15000</v>
      </c>
      <c r="M152" s="63">
        <v>15000</v>
      </c>
      <c r="N152" s="63">
        <v>15000</v>
      </c>
      <c r="O152" s="63">
        <v>15000</v>
      </c>
      <c r="P152" s="63">
        <v>15000</v>
      </c>
      <c r="Q152" s="63">
        <v>15000</v>
      </c>
      <c r="R152" s="63">
        <v>15000</v>
      </c>
      <c r="S152" s="63">
        <v>15000</v>
      </c>
      <c r="T152" s="63">
        <v>15000</v>
      </c>
      <c r="U152" s="63">
        <v>15000</v>
      </c>
      <c r="V152" s="33"/>
    </row>
    <row r="153" spans="2:25" ht="21">
      <c r="B153" s="27" t="s">
        <v>617</v>
      </c>
      <c r="C153" s="33" t="s">
        <v>618</v>
      </c>
      <c r="D153" s="33" t="s">
        <v>619</v>
      </c>
      <c r="E153" s="33" t="s">
        <v>255</v>
      </c>
      <c r="F153" s="33"/>
      <c r="G153" s="68">
        <v>2250</v>
      </c>
      <c r="H153" s="68">
        <v>2250</v>
      </c>
      <c r="I153" s="68">
        <v>2250</v>
      </c>
      <c r="J153" s="68">
        <v>2250</v>
      </c>
      <c r="K153" s="68">
        <v>2250</v>
      </c>
      <c r="L153" s="68">
        <v>2250</v>
      </c>
      <c r="M153" s="68">
        <v>2250</v>
      </c>
      <c r="N153" s="68">
        <v>2250</v>
      </c>
      <c r="O153" s="68">
        <v>2250</v>
      </c>
      <c r="P153" s="68">
        <v>2250</v>
      </c>
      <c r="Q153" s="68">
        <v>2250</v>
      </c>
      <c r="R153" s="68">
        <v>2250</v>
      </c>
      <c r="S153" s="68">
        <v>2250</v>
      </c>
      <c r="T153" s="68">
        <v>2250</v>
      </c>
      <c r="U153" s="68">
        <v>2250</v>
      </c>
      <c r="V153" s="43">
        <f>SUMPRODUCT($G$117:$U$117,G153:U153)</f>
        <v>22500</v>
      </c>
      <c r="Y153" s="50" t="s">
        <v>745</v>
      </c>
    </row>
    <row r="154" spans="2:25">
      <c r="B154" s="27" t="s">
        <v>621</v>
      </c>
      <c r="C154" s="33" t="s">
        <v>622</v>
      </c>
      <c r="D154" s="33" t="s">
        <v>619</v>
      </c>
      <c r="E154" s="33" t="s">
        <v>168</v>
      </c>
      <c r="F154" s="33"/>
      <c r="G154" s="68">
        <v>2250</v>
      </c>
      <c r="H154" s="68">
        <v>2250</v>
      </c>
      <c r="I154" s="68">
        <v>2250</v>
      </c>
      <c r="J154" s="68">
        <v>2250</v>
      </c>
      <c r="K154" s="68">
        <v>2250</v>
      </c>
      <c r="L154" s="68">
        <v>2250</v>
      </c>
      <c r="M154" s="68">
        <v>2250</v>
      </c>
      <c r="N154" s="68">
        <v>2250</v>
      </c>
      <c r="O154" s="68">
        <v>2250</v>
      </c>
      <c r="P154" s="68">
        <v>2250</v>
      </c>
      <c r="Q154" s="68">
        <v>2250</v>
      </c>
      <c r="R154" s="68">
        <v>2250</v>
      </c>
      <c r="S154" s="68">
        <v>2250</v>
      </c>
      <c r="T154" s="68">
        <v>2250</v>
      </c>
      <c r="U154" s="68">
        <v>2250</v>
      </c>
      <c r="V154" s="43">
        <f>SUMPRODUCT($G$117:$U$117,G154:U154)</f>
        <v>22500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4.1095890410958902E-2</v>
      </c>
      <c r="H155" s="45">
        <f t="shared" si="37"/>
        <v>4.0983606557377046E-2</v>
      </c>
      <c r="I155" s="45">
        <f t="shared" si="37"/>
        <v>4.1095890410958902E-2</v>
      </c>
      <c r="J155" s="45">
        <f t="shared" si="37"/>
        <v>4.1095890410958902E-2</v>
      </c>
      <c r="K155" s="45">
        <f t="shared" si="37"/>
        <v>4.1095890410958902E-2</v>
      </c>
      <c r="L155" s="45">
        <f t="shared" si="37"/>
        <v>4.0983606557377046E-2</v>
      </c>
      <c r="M155" s="45">
        <f t="shared" si="37"/>
        <v>4.1095890410958902E-2</v>
      </c>
      <c r="N155" s="45">
        <f t="shared" si="37"/>
        <v>4.1095890410958902E-2</v>
      </c>
      <c r="O155" s="45">
        <f t="shared" si="37"/>
        <v>4.1095890410958902E-2</v>
      </c>
      <c r="P155" s="45">
        <f t="shared" si="37"/>
        <v>4.0983606557377046E-2</v>
      </c>
      <c r="Q155" s="45">
        <f t="shared" si="37"/>
        <v>0</v>
      </c>
      <c r="R155" s="45">
        <f t="shared" si="37"/>
        <v>0</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120.96</v>
      </c>
      <c r="H156" s="34">
        <f t="shared" si="38"/>
        <v>120.96</v>
      </c>
      <c r="I156" s="34">
        <f t="shared" si="38"/>
        <v>120.96</v>
      </c>
      <c r="J156" s="34">
        <f t="shared" si="38"/>
        <v>120.96</v>
      </c>
      <c r="K156" s="34">
        <f t="shared" si="38"/>
        <v>120.96</v>
      </c>
      <c r="L156" s="34">
        <f t="shared" si="38"/>
        <v>120.96</v>
      </c>
      <c r="M156" s="34">
        <f t="shared" si="38"/>
        <v>120.96</v>
      </c>
      <c r="N156" s="34">
        <f t="shared" si="38"/>
        <v>120.96</v>
      </c>
      <c r="O156" s="34">
        <f t="shared" si="38"/>
        <v>120.96</v>
      </c>
      <c r="P156" s="34">
        <f t="shared" si="38"/>
        <v>120.96</v>
      </c>
      <c r="Q156" s="34">
        <f t="shared" si="38"/>
        <v>0</v>
      </c>
      <c r="R156" s="34">
        <f t="shared" si="38"/>
        <v>0</v>
      </c>
      <c r="S156" s="34">
        <f t="shared" si="38"/>
        <v>0</v>
      </c>
      <c r="T156" s="34">
        <f t="shared" si="38"/>
        <v>0</v>
      </c>
      <c r="U156" s="34">
        <f t="shared" si="38"/>
        <v>0</v>
      </c>
      <c r="V156" s="34">
        <f t="shared" ref="V156:V164" si="39">SUMPRODUCT($G$117:$U$117,G156:U156)</f>
        <v>1209.6000000000001</v>
      </c>
    </row>
    <row r="157" spans="2:25">
      <c r="B157" s="27" t="s">
        <v>628</v>
      </c>
      <c r="C157" s="33" t="s">
        <v>629</v>
      </c>
      <c r="D157" s="33" t="s">
        <v>359</v>
      </c>
      <c r="E157" s="33" t="s">
        <v>129</v>
      </c>
      <c r="F157" s="33"/>
      <c r="G157" s="34">
        <f t="shared" ref="G157:U157" si="40">IF($I$75="",0,G156*$I$83)</f>
        <v>91.889479247750771</v>
      </c>
      <c r="H157" s="34">
        <f t="shared" si="40"/>
        <v>91.889479247750771</v>
      </c>
      <c r="I157" s="34">
        <f t="shared" si="40"/>
        <v>91.889479247750771</v>
      </c>
      <c r="J157" s="34">
        <f t="shared" si="40"/>
        <v>91.889479247750771</v>
      </c>
      <c r="K157" s="34">
        <f t="shared" si="40"/>
        <v>91.889479247750771</v>
      </c>
      <c r="L157" s="34">
        <f t="shared" si="40"/>
        <v>91.889479247750771</v>
      </c>
      <c r="M157" s="34">
        <f t="shared" si="40"/>
        <v>91.889479247750771</v>
      </c>
      <c r="N157" s="34">
        <f t="shared" si="40"/>
        <v>91.889479247750771</v>
      </c>
      <c r="O157" s="34">
        <f t="shared" si="40"/>
        <v>91.889479247750771</v>
      </c>
      <c r="P157" s="34">
        <f t="shared" si="40"/>
        <v>91.889479247750771</v>
      </c>
      <c r="Q157" s="34">
        <f t="shared" si="40"/>
        <v>0</v>
      </c>
      <c r="R157" s="34">
        <f t="shared" si="40"/>
        <v>0</v>
      </c>
      <c r="S157" s="34">
        <f t="shared" si="40"/>
        <v>0</v>
      </c>
      <c r="T157" s="34">
        <f t="shared" si="40"/>
        <v>0</v>
      </c>
      <c r="U157" s="34">
        <f t="shared" si="40"/>
        <v>0</v>
      </c>
      <c r="V157" s="34">
        <f t="shared" si="39"/>
        <v>918.89479247750751</v>
      </c>
    </row>
    <row r="158" spans="2:25" ht="21">
      <c r="B158" s="27" t="s">
        <v>630</v>
      </c>
      <c r="C158" s="33" t="s">
        <v>631</v>
      </c>
      <c r="D158" s="33" t="s">
        <v>359</v>
      </c>
      <c r="E158" s="33" t="s">
        <v>632</v>
      </c>
      <c r="F158" s="33"/>
      <c r="G158" s="34">
        <f t="shared" ref="G158:U158" si="41">IF(OR($I$88="FST",$I$88="WW"),N(G152)*G$120*$F$22*$F$25*$I$90*G155*$F$30/1000,0)</f>
        <v>30.24</v>
      </c>
      <c r="H158" s="34">
        <f t="shared" si="41"/>
        <v>30.24</v>
      </c>
      <c r="I158" s="34">
        <f t="shared" si="41"/>
        <v>30.24</v>
      </c>
      <c r="J158" s="34">
        <f t="shared" si="41"/>
        <v>30.24</v>
      </c>
      <c r="K158" s="34">
        <f t="shared" si="41"/>
        <v>30.24</v>
      </c>
      <c r="L158" s="34">
        <f t="shared" si="41"/>
        <v>30.24</v>
      </c>
      <c r="M158" s="34">
        <f t="shared" si="41"/>
        <v>30.24</v>
      </c>
      <c r="N158" s="34">
        <f t="shared" si="41"/>
        <v>30.24</v>
      </c>
      <c r="O158" s="34">
        <f t="shared" si="41"/>
        <v>30.24</v>
      </c>
      <c r="P158" s="34">
        <f t="shared" si="41"/>
        <v>30.24</v>
      </c>
      <c r="Q158" s="34">
        <f t="shared" si="41"/>
        <v>0</v>
      </c>
      <c r="R158" s="34">
        <f t="shared" si="41"/>
        <v>0</v>
      </c>
      <c r="S158" s="34">
        <f t="shared" si="41"/>
        <v>0</v>
      </c>
      <c r="T158" s="34">
        <f t="shared" si="41"/>
        <v>0</v>
      </c>
      <c r="U158" s="34">
        <f t="shared" si="41"/>
        <v>0</v>
      </c>
      <c r="V158" s="34">
        <f t="shared" si="39"/>
        <v>302.40000000000003</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22.48714285714286</v>
      </c>
      <c r="H160" s="34">
        <f t="shared" si="43"/>
        <v>22.48714285714286</v>
      </c>
      <c r="I160" s="34">
        <f t="shared" si="43"/>
        <v>22.48714285714286</v>
      </c>
      <c r="J160" s="34">
        <f t="shared" si="43"/>
        <v>22.48714285714286</v>
      </c>
      <c r="K160" s="34">
        <f t="shared" si="43"/>
        <v>22.48714285714286</v>
      </c>
      <c r="L160" s="34">
        <f t="shared" si="43"/>
        <v>22.48714285714286</v>
      </c>
      <c r="M160" s="34">
        <f t="shared" si="43"/>
        <v>22.48714285714286</v>
      </c>
      <c r="N160" s="34">
        <f t="shared" si="43"/>
        <v>22.48714285714286</v>
      </c>
      <c r="O160" s="34">
        <f t="shared" si="43"/>
        <v>22.48714285714286</v>
      </c>
      <c r="P160" s="34">
        <f t="shared" si="43"/>
        <v>22.48714285714286</v>
      </c>
      <c r="Q160" s="34">
        <f t="shared" si="43"/>
        <v>0</v>
      </c>
      <c r="R160" s="34">
        <f t="shared" si="43"/>
        <v>0</v>
      </c>
      <c r="S160" s="34">
        <f t="shared" si="43"/>
        <v>0</v>
      </c>
      <c r="T160" s="34">
        <f t="shared" si="43"/>
        <v>0</v>
      </c>
      <c r="U160" s="34">
        <f t="shared" si="43"/>
        <v>0</v>
      </c>
      <c r="V160" s="34">
        <f t="shared" si="39"/>
        <v>224.87142857142859</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25.367667231185372</v>
      </c>
      <c r="H164" s="34">
        <f t="shared" si="47"/>
        <v>25.385537897109479</v>
      </c>
      <c r="I164" s="34">
        <f t="shared" si="47"/>
        <v>25.385537897109479</v>
      </c>
      <c r="J164" s="34">
        <f t="shared" si="47"/>
        <v>25.385537897109479</v>
      </c>
      <c r="K164" s="34">
        <f t="shared" si="47"/>
        <v>25.385537897109479</v>
      </c>
      <c r="L164" s="34">
        <f t="shared" si="47"/>
        <v>25.385537897109479</v>
      </c>
      <c r="M164" s="34">
        <f t="shared" si="47"/>
        <v>25.385537897109479</v>
      </c>
      <c r="N164" s="34">
        <f t="shared" si="47"/>
        <v>25.385537897109479</v>
      </c>
      <c r="O164" s="34">
        <f t="shared" si="47"/>
        <v>25.385537897109479</v>
      </c>
      <c r="P164" s="34">
        <f t="shared" si="47"/>
        <v>25.385537897109479</v>
      </c>
      <c r="Q164" s="34">
        <f t="shared" si="47"/>
        <v>0</v>
      </c>
      <c r="R164" s="34">
        <f t="shared" si="47"/>
        <v>0</v>
      </c>
      <c r="S164" s="34">
        <f t="shared" si="47"/>
        <v>0</v>
      </c>
      <c r="T164" s="34">
        <f t="shared" si="47"/>
        <v>0</v>
      </c>
      <c r="U164" s="34">
        <f t="shared" si="47"/>
        <v>0</v>
      </c>
      <c r="V164" s="34">
        <f t="shared" si="39"/>
        <v>253.83750830517073</v>
      </c>
    </row>
    <row r="165" spans="2:25" ht="22.5">
      <c r="B165" s="25" t="str">
        <f>"Stratum 4: "&amp;IF(J$74="","not used",J$74)</f>
        <v>Stratum 4: Household dry pits remaining in use, emptied by the activity</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v>5000</v>
      </c>
      <c r="H166" s="63">
        <v>5000</v>
      </c>
      <c r="I166" s="63">
        <v>5000</v>
      </c>
      <c r="J166" s="63">
        <v>5000</v>
      </c>
      <c r="K166" s="63">
        <v>5000</v>
      </c>
      <c r="L166" s="63">
        <v>5000</v>
      </c>
      <c r="M166" s="63">
        <v>5000</v>
      </c>
      <c r="N166" s="63">
        <v>5000</v>
      </c>
      <c r="O166" s="63">
        <v>5000</v>
      </c>
      <c r="P166" s="63">
        <v>5000</v>
      </c>
      <c r="Q166" s="63">
        <v>5000</v>
      </c>
      <c r="R166" s="63">
        <v>5000</v>
      </c>
      <c r="S166" s="63">
        <v>5000</v>
      </c>
      <c r="T166" s="63">
        <v>5000</v>
      </c>
      <c r="U166" s="63">
        <v>5000</v>
      </c>
      <c r="V166" s="33"/>
    </row>
    <row r="167" spans="2:25" ht="21">
      <c r="B167" s="27" t="s">
        <v>617</v>
      </c>
      <c r="C167" s="33" t="s">
        <v>618</v>
      </c>
      <c r="D167" s="33" t="s">
        <v>619</v>
      </c>
      <c r="E167" s="33" t="s">
        <v>255</v>
      </c>
      <c r="F167" s="33"/>
      <c r="G167" s="68">
        <v>400</v>
      </c>
      <c r="H167" s="68">
        <v>400</v>
      </c>
      <c r="I167" s="68">
        <v>400</v>
      </c>
      <c r="J167" s="68">
        <v>400</v>
      </c>
      <c r="K167" s="68">
        <v>400</v>
      </c>
      <c r="L167" s="68">
        <v>400</v>
      </c>
      <c r="M167" s="68">
        <v>400</v>
      </c>
      <c r="N167" s="68">
        <v>400</v>
      </c>
      <c r="O167" s="68">
        <v>400</v>
      </c>
      <c r="P167" s="68">
        <v>400</v>
      </c>
      <c r="Q167" s="68">
        <v>400</v>
      </c>
      <c r="R167" s="68">
        <v>400</v>
      </c>
      <c r="S167" s="68">
        <v>400</v>
      </c>
      <c r="T167" s="68">
        <v>400</v>
      </c>
      <c r="U167" s="68">
        <v>400</v>
      </c>
      <c r="V167" s="43">
        <f>SUMPRODUCT($G$117:$U$117,G167:U167)</f>
        <v>4000</v>
      </c>
      <c r="Y167" s="50" t="s">
        <v>745</v>
      </c>
    </row>
    <row r="168" spans="2:25">
      <c r="B168" s="27" t="s">
        <v>621</v>
      </c>
      <c r="C168" s="33" t="s">
        <v>622</v>
      </c>
      <c r="D168" s="33" t="s">
        <v>619</v>
      </c>
      <c r="E168" s="33" t="s">
        <v>168</v>
      </c>
      <c r="F168" s="33"/>
      <c r="G168" s="68">
        <v>400</v>
      </c>
      <c r="H168" s="68">
        <v>400</v>
      </c>
      <c r="I168" s="68">
        <v>400</v>
      </c>
      <c r="J168" s="68">
        <v>400</v>
      </c>
      <c r="K168" s="68">
        <v>400</v>
      </c>
      <c r="L168" s="68">
        <v>400</v>
      </c>
      <c r="M168" s="68">
        <v>400</v>
      </c>
      <c r="N168" s="68">
        <v>400</v>
      </c>
      <c r="O168" s="68">
        <v>400</v>
      </c>
      <c r="P168" s="68">
        <v>400</v>
      </c>
      <c r="Q168" s="68">
        <v>400</v>
      </c>
      <c r="R168" s="68">
        <v>400</v>
      </c>
      <c r="S168" s="68">
        <v>400</v>
      </c>
      <c r="T168" s="68">
        <v>400</v>
      </c>
      <c r="U168" s="68">
        <v>400</v>
      </c>
      <c r="V168" s="43">
        <f>SUMPRODUCT($G$117:$U$117,G168:U168)</f>
        <v>4000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1.643835616438356E-2</v>
      </c>
      <c r="H169" s="45">
        <f t="shared" si="49"/>
        <v>1.6393442622950821E-2</v>
      </c>
      <c r="I169" s="45">
        <f t="shared" si="49"/>
        <v>1.643835616438356E-2</v>
      </c>
      <c r="J169" s="45">
        <f t="shared" si="49"/>
        <v>1.643835616438356E-2</v>
      </c>
      <c r="K169" s="45">
        <f t="shared" si="49"/>
        <v>1.643835616438356E-2</v>
      </c>
      <c r="L169" s="45">
        <f t="shared" si="49"/>
        <v>1.6393442622950821E-2</v>
      </c>
      <c r="M169" s="45">
        <f t="shared" si="49"/>
        <v>1.643835616438356E-2</v>
      </c>
      <c r="N169" s="45">
        <f t="shared" si="49"/>
        <v>1.643835616438356E-2</v>
      </c>
      <c r="O169" s="45">
        <f t="shared" si="49"/>
        <v>1.643835616438356E-2</v>
      </c>
      <c r="P169" s="45">
        <f t="shared" si="49"/>
        <v>1.6393442622950821E-2</v>
      </c>
      <c r="Q169" s="45">
        <f t="shared" si="49"/>
        <v>0</v>
      </c>
      <c r="R169" s="45">
        <f t="shared" si="49"/>
        <v>0</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2.016</v>
      </c>
      <c r="H170" s="34">
        <f t="shared" si="50"/>
        <v>2.016</v>
      </c>
      <c r="I170" s="34">
        <f t="shared" si="50"/>
        <v>2.016</v>
      </c>
      <c r="J170" s="34">
        <f t="shared" si="50"/>
        <v>2.016</v>
      </c>
      <c r="K170" s="34">
        <f t="shared" si="50"/>
        <v>2.016</v>
      </c>
      <c r="L170" s="34">
        <f t="shared" si="50"/>
        <v>2.016</v>
      </c>
      <c r="M170" s="34">
        <f t="shared" si="50"/>
        <v>2.016</v>
      </c>
      <c r="N170" s="34">
        <f t="shared" si="50"/>
        <v>2.016</v>
      </c>
      <c r="O170" s="34">
        <f t="shared" si="50"/>
        <v>2.016</v>
      </c>
      <c r="P170" s="34">
        <f t="shared" si="50"/>
        <v>2.016</v>
      </c>
      <c r="Q170" s="34">
        <f t="shared" si="50"/>
        <v>0</v>
      </c>
      <c r="R170" s="34">
        <f t="shared" si="50"/>
        <v>0</v>
      </c>
      <c r="S170" s="34">
        <f t="shared" si="50"/>
        <v>0</v>
      </c>
      <c r="T170" s="34">
        <f t="shared" si="50"/>
        <v>0</v>
      </c>
      <c r="U170" s="34">
        <f t="shared" si="50"/>
        <v>0</v>
      </c>
      <c r="V170" s="34">
        <f t="shared" ref="V170:V178" si="51">SUMPRODUCT($G$117:$U$117,G170:U170)</f>
        <v>20.159999999999997</v>
      </c>
    </row>
    <row r="171" spans="2:25">
      <c r="B171" s="27" t="s">
        <v>628</v>
      </c>
      <c r="C171" s="33" t="s">
        <v>629</v>
      </c>
      <c r="D171" s="33" t="s">
        <v>359</v>
      </c>
      <c r="E171" s="33" t="s">
        <v>129</v>
      </c>
      <c r="F171" s="33"/>
      <c r="G171" s="34">
        <f t="shared" ref="G171:U171" si="52">IF($J$75="",0,G170*$J$83)</f>
        <v>1.1491199999999999</v>
      </c>
      <c r="H171" s="34">
        <f t="shared" si="52"/>
        <v>1.1491199999999999</v>
      </c>
      <c r="I171" s="34">
        <f t="shared" si="52"/>
        <v>1.1491199999999999</v>
      </c>
      <c r="J171" s="34">
        <f t="shared" si="52"/>
        <v>1.1491199999999999</v>
      </c>
      <c r="K171" s="34">
        <f t="shared" si="52"/>
        <v>1.1491199999999999</v>
      </c>
      <c r="L171" s="34">
        <f t="shared" si="52"/>
        <v>1.1491199999999999</v>
      </c>
      <c r="M171" s="34">
        <f t="shared" si="52"/>
        <v>1.1491199999999999</v>
      </c>
      <c r="N171" s="34">
        <f t="shared" si="52"/>
        <v>1.1491199999999999</v>
      </c>
      <c r="O171" s="34">
        <f t="shared" si="52"/>
        <v>1.1491199999999999</v>
      </c>
      <c r="P171" s="34">
        <f t="shared" si="52"/>
        <v>1.1491199999999999</v>
      </c>
      <c r="Q171" s="34">
        <f t="shared" si="52"/>
        <v>0</v>
      </c>
      <c r="R171" s="34">
        <f t="shared" si="52"/>
        <v>0</v>
      </c>
      <c r="S171" s="34">
        <f t="shared" si="52"/>
        <v>0</v>
      </c>
      <c r="T171" s="34">
        <f t="shared" si="52"/>
        <v>0</v>
      </c>
      <c r="U171" s="34">
        <f t="shared" si="52"/>
        <v>0</v>
      </c>
      <c r="V171" s="34">
        <f t="shared" si="51"/>
        <v>11.491199999999999</v>
      </c>
    </row>
    <row r="172" spans="2:25" ht="21">
      <c r="B172" s="27" t="s">
        <v>630</v>
      </c>
      <c r="C172" s="33" t="s">
        <v>631</v>
      </c>
      <c r="D172" s="33" t="s">
        <v>359</v>
      </c>
      <c r="E172" s="33" t="s">
        <v>632</v>
      </c>
      <c r="F172" s="33"/>
      <c r="G172" s="34">
        <f t="shared" ref="G172:U172" si="53">IF(OR($J$88="FST",$J$88="WW"),N(G166)*G$120*$F$22*$F$25*$J$90*G169*$F$30/1000,0)</f>
        <v>4.032</v>
      </c>
      <c r="H172" s="34">
        <f t="shared" si="53"/>
        <v>4.032</v>
      </c>
      <c r="I172" s="34">
        <f t="shared" si="53"/>
        <v>4.032</v>
      </c>
      <c r="J172" s="34">
        <f t="shared" si="53"/>
        <v>4.032</v>
      </c>
      <c r="K172" s="34">
        <f t="shared" si="53"/>
        <v>4.032</v>
      </c>
      <c r="L172" s="34">
        <f t="shared" si="53"/>
        <v>4.032</v>
      </c>
      <c r="M172" s="34">
        <f t="shared" si="53"/>
        <v>4.032</v>
      </c>
      <c r="N172" s="34">
        <f t="shared" si="53"/>
        <v>4.032</v>
      </c>
      <c r="O172" s="34">
        <f t="shared" si="53"/>
        <v>4.032</v>
      </c>
      <c r="P172" s="34">
        <f t="shared" si="53"/>
        <v>4.032</v>
      </c>
      <c r="Q172" s="34">
        <f t="shared" si="53"/>
        <v>0</v>
      </c>
      <c r="R172" s="34">
        <f t="shared" si="53"/>
        <v>0</v>
      </c>
      <c r="S172" s="34">
        <f t="shared" si="53"/>
        <v>0</v>
      </c>
      <c r="T172" s="34">
        <f t="shared" si="53"/>
        <v>0</v>
      </c>
      <c r="U172" s="34">
        <f t="shared" si="53"/>
        <v>0</v>
      </c>
      <c r="V172" s="34">
        <f t="shared" si="51"/>
        <v>40.319999999999993</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3.9977142857142858</v>
      </c>
      <c r="H174" s="34">
        <f t="shared" si="55"/>
        <v>3.9977142857142858</v>
      </c>
      <c r="I174" s="34">
        <f t="shared" si="55"/>
        <v>3.9977142857142858</v>
      </c>
      <c r="J174" s="34">
        <f t="shared" si="55"/>
        <v>3.9977142857142858</v>
      </c>
      <c r="K174" s="34">
        <f t="shared" si="55"/>
        <v>3.9977142857142858</v>
      </c>
      <c r="L174" s="34">
        <f t="shared" si="55"/>
        <v>3.9977142857142858</v>
      </c>
      <c r="M174" s="34">
        <f t="shared" si="55"/>
        <v>3.9977142857142858</v>
      </c>
      <c r="N174" s="34">
        <f t="shared" si="55"/>
        <v>3.9977142857142858</v>
      </c>
      <c r="O174" s="34">
        <f t="shared" si="55"/>
        <v>3.9977142857142858</v>
      </c>
      <c r="P174" s="34">
        <f t="shared" si="55"/>
        <v>3.9977142857142858</v>
      </c>
      <c r="Q174" s="34">
        <f t="shared" si="55"/>
        <v>0</v>
      </c>
      <c r="R174" s="34">
        <f t="shared" si="55"/>
        <v>0</v>
      </c>
      <c r="S174" s="34">
        <f t="shared" si="55"/>
        <v>0</v>
      </c>
      <c r="T174" s="34">
        <f t="shared" si="55"/>
        <v>0</v>
      </c>
      <c r="U174" s="34">
        <f t="shared" si="55"/>
        <v>0</v>
      </c>
      <c r="V174" s="34">
        <f t="shared" si="51"/>
        <v>39.977142857142859</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-7.0531029380022865</v>
      </c>
      <c r="H178" s="34">
        <f t="shared" si="59"/>
        <v>-7.0528794571446864</v>
      </c>
      <c r="I178" s="34">
        <f t="shared" si="59"/>
        <v>-7.0528794571446864</v>
      </c>
      <c r="J178" s="34">
        <f t="shared" si="59"/>
        <v>-7.0528794571446864</v>
      </c>
      <c r="K178" s="34">
        <f t="shared" si="59"/>
        <v>-7.0528794571446864</v>
      </c>
      <c r="L178" s="34">
        <f t="shared" si="59"/>
        <v>-7.0528794571446864</v>
      </c>
      <c r="M178" s="34">
        <f t="shared" si="59"/>
        <v>-7.0528794571446864</v>
      </c>
      <c r="N178" s="34">
        <f t="shared" si="59"/>
        <v>-7.0528794571446864</v>
      </c>
      <c r="O178" s="34">
        <f t="shared" si="59"/>
        <v>-7.0528794571446864</v>
      </c>
      <c r="P178" s="34">
        <f t="shared" si="59"/>
        <v>-7.0528794571446864</v>
      </c>
      <c r="Q178" s="34">
        <f t="shared" si="59"/>
        <v>0</v>
      </c>
      <c r="R178" s="34">
        <f t="shared" si="59"/>
        <v>0</v>
      </c>
      <c r="S178" s="34">
        <f t="shared" si="59"/>
        <v>0</v>
      </c>
      <c r="T178" s="34">
        <f t="shared" si="59"/>
        <v>0</v>
      </c>
      <c r="U178" s="34">
        <f t="shared" si="59"/>
        <v>0</v>
      </c>
      <c r="V178" s="34">
        <f t="shared" si="51"/>
        <v>-70.529018052304451</v>
      </c>
    </row>
    <row r="179" spans="2:25">
      <c r="B179" s="25" t="str">
        <f>"Stratum 5: "&amp;IF(K$74="","not used",K$74)</f>
        <v>Stratum 5: not used</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c r="H180" s="63"/>
      <c r="I180" s="63"/>
      <c r="J180" s="63"/>
      <c r="K180" s="63"/>
      <c r="L180" s="63"/>
      <c r="M180" s="63"/>
      <c r="N180" s="63"/>
      <c r="O180" s="63"/>
      <c r="P180" s="63"/>
      <c r="Q180" s="63"/>
      <c r="R180" s="63"/>
      <c r="S180" s="63"/>
      <c r="T180" s="63"/>
      <c r="U180" s="63"/>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0</v>
      </c>
      <c r="H183" s="45">
        <f t="shared" si="61"/>
        <v>0</v>
      </c>
      <c r="I183" s="45">
        <f t="shared" si="61"/>
        <v>0</v>
      </c>
      <c r="J183" s="45">
        <f t="shared" si="61"/>
        <v>0</v>
      </c>
      <c r="K183" s="45">
        <f t="shared" si="61"/>
        <v>0</v>
      </c>
      <c r="L183" s="45">
        <f t="shared" si="61"/>
        <v>0</v>
      </c>
      <c r="M183" s="45">
        <f t="shared" si="61"/>
        <v>0</v>
      </c>
      <c r="N183" s="45">
        <f t="shared" si="61"/>
        <v>0</v>
      </c>
      <c r="O183" s="45">
        <f t="shared" si="61"/>
        <v>0</v>
      </c>
      <c r="P183" s="45">
        <f t="shared" si="61"/>
        <v>0</v>
      </c>
      <c r="Q183" s="45">
        <f t="shared" si="61"/>
        <v>0</v>
      </c>
      <c r="R183" s="45">
        <f t="shared" si="61"/>
        <v>0</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0</v>
      </c>
      <c r="H184" s="34">
        <f t="shared" si="62"/>
        <v>0</v>
      </c>
      <c r="I184" s="34">
        <f t="shared" si="62"/>
        <v>0</v>
      </c>
      <c r="J184" s="34">
        <f t="shared" si="62"/>
        <v>0</v>
      </c>
      <c r="K184" s="34">
        <f t="shared" si="62"/>
        <v>0</v>
      </c>
      <c r="L184" s="34">
        <f t="shared" si="62"/>
        <v>0</v>
      </c>
      <c r="M184" s="34">
        <f t="shared" si="62"/>
        <v>0</v>
      </c>
      <c r="N184" s="34">
        <f t="shared" si="62"/>
        <v>0</v>
      </c>
      <c r="O184" s="34">
        <f t="shared" si="62"/>
        <v>0</v>
      </c>
      <c r="P184" s="34">
        <f t="shared" si="62"/>
        <v>0</v>
      </c>
      <c r="Q184" s="34">
        <f t="shared" si="62"/>
        <v>0</v>
      </c>
      <c r="R184" s="34">
        <f t="shared" si="62"/>
        <v>0</v>
      </c>
      <c r="S184" s="34">
        <f t="shared" si="62"/>
        <v>0</v>
      </c>
      <c r="T184" s="34">
        <f t="shared" si="62"/>
        <v>0</v>
      </c>
      <c r="U184" s="34">
        <f t="shared" si="62"/>
        <v>0</v>
      </c>
      <c r="V184" s="34">
        <f t="shared" ref="V184:V192" si="63">SUMPRODUCT($G$117:$U$117,G184:U184)</f>
        <v>0</v>
      </c>
    </row>
    <row r="185" spans="2:25">
      <c r="B185" s="27" t="s">
        <v>628</v>
      </c>
      <c r="C185" s="33" t="s">
        <v>629</v>
      </c>
      <c r="D185" s="33" t="s">
        <v>359</v>
      </c>
      <c r="E185" s="33" t="s">
        <v>129</v>
      </c>
      <c r="F185" s="33"/>
      <c r="G185" s="34">
        <f t="shared" ref="G185:U185" si="64">IF($K$75="",0,G184*$K$83)</f>
        <v>0</v>
      </c>
      <c r="H185" s="34">
        <f t="shared" si="64"/>
        <v>0</v>
      </c>
      <c r="I185" s="34">
        <f t="shared" si="64"/>
        <v>0</v>
      </c>
      <c r="J185" s="34">
        <f t="shared" si="64"/>
        <v>0</v>
      </c>
      <c r="K185" s="34">
        <f t="shared" si="64"/>
        <v>0</v>
      </c>
      <c r="L185" s="34">
        <f t="shared" si="64"/>
        <v>0</v>
      </c>
      <c r="M185" s="34">
        <f t="shared" si="64"/>
        <v>0</v>
      </c>
      <c r="N185" s="34">
        <f t="shared" si="64"/>
        <v>0</v>
      </c>
      <c r="O185" s="34">
        <f t="shared" si="64"/>
        <v>0</v>
      </c>
      <c r="P185" s="34">
        <f t="shared" si="64"/>
        <v>0</v>
      </c>
      <c r="Q185" s="34">
        <f t="shared" si="64"/>
        <v>0</v>
      </c>
      <c r="R185" s="34">
        <f t="shared" si="64"/>
        <v>0</v>
      </c>
      <c r="S185" s="34">
        <f t="shared" si="64"/>
        <v>0</v>
      </c>
      <c r="T185" s="34">
        <f t="shared" si="64"/>
        <v>0</v>
      </c>
      <c r="U185" s="34">
        <f t="shared" si="64"/>
        <v>0</v>
      </c>
      <c r="V185" s="34">
        <f t="shared" si="63"/>
        <v>0</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0</v>
      </c>
      <c r="H192" s="34">
        <f t="shared" si="71"/>
        <v>0</v>
      </c>
      <c r="I192" s="34">
        <f t="shared" si="71"/>
        <v>0</v>
      </c>
      <c r="J192" s="34">
        <f t="shared" si="71"/>
        <v>0</v>
      </c>
      <c r="K192" s="34">
        <f t="shared" si="71"/>
        <v>0</v>
      </c>
      <c r="L192" s="34">
        <f t="shared" si="71"/>
        <v>0</v>
      </c>
      <c r="M192" s="34">
        <f t="shared" si="71"/>
        <v>0</v>
      </c>
      <c r="N192" s="34">
        <f t="shared" si="71"/>
        <v>0</v>
      </c>
      <c r="O192" s="34">
        <f t="shared" si="71"/>
        <v>0</v>
      </c>
      <c r="P192" s="34">
        <f t="shared" si="71"/>
        <v>0</v>
      </c>
      <c r="Q192" s="34">
        <f t="shared" si="71"/>
        <v>0</v>
      </c>
      <c r="R192" s="34">
        <f t="shared" si="71"/>
        <v>0</v>
      </c>
      <c r="S192" s="34">
        <f t="shared" si="71"/>
        <v>0</v>
      </c>
      <c r="T192" s="34">
        <f t="shared" si="71"/>
        <v>0</v>
      </c>
      <c r="U192" s="34">
        <f t="shared" si="71"/>
        <v>0</v>
      </c>
      <c r="V192" s="34">
        <f t="shared" si="63"/>
        <v>0</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5666.3040000000001</v>
      </c>
      <c r="H195" s="34">
        <f t="shared" si="73"/>
        <v>11240.006399999998</v>
      </c>
      <c r="I195" s="34">
        <f t="shared" si="73"/>
        <v>13981.295999999998</v>
      </c>
      <c r="J195" s="34">
        <f t="shared" si="73"/>
        <v>13981.295999999998</v>
      </c>
      <c r="K195" s="34">
        <f t="shared" si="73"/>
        <v>13981.295999999998</v>
      </c>
      <c r="L195" s="34">
        <f t="shared" si="73"/>
        <v>14019.263999999999</v>
      </c>
      <c r="M195" s="34">
        <f t="shared" si="73"/>
        <v>13981.295999999998</v>
      </c>
      <c r="N195" s="34">
        <f t="shared" si="73"/>
        <v>13981.295999999998</v>
      </c>
      <c r="O195" s="34">
        <f t="shared" si="73"/>
        <v>13981.295999999998</v>
      </c>
      <c r="P195" s="34">
        <f t="shared" si="73"/>
        <v>14019.263999999999</v>
      </c>
      <c r="Q195" s="34">
        <f t="shared" si="73"/>
        <v>0</v>
      </c>
      <c r="R195" s="34">
        <f t="shared" si="73"/>
        <v>0</v>
      </c>
      <c r="S195" s="34">
        <f t="shared" si="73"/>
        <v>0</v>
      </c>
      <c r="T195" s="34">
        <f t="shared" si="73"/>
        <v>0</v>
      </c>
      <c r="U195" s="34">
        <f t="shared" si="73"/>
        <v>0</v>
      </c>
      <c r="V195" s="34">
        <f>SUMPRODUCT($G$117:$U$117,G195:U195)</f>
        <v>128832.61439999999</v>
      </c>
    </row>
    <row r="196" spans="2:25">
      <c r="B196" s="27" t="s">
        <v>628</v>
      </c>
      <c r="C196" s="33" t="s">
        <v>646</v>
      </c>
      <c r="D196" s="33" t="s">
        <v>359</v>
      </c>
      <c r="E196" s="33" t="s">
        <v>129</v>
      </c>
      <c r="F196" s="33"/>
      <c r="G196" s="34">
        <f t="shared" ref="G196:U196" si="74">G129+G143+G157+G171+G185</f>
        <v>4304.1292343293962</v>
      </c>
      <c r="H196" s="34">
        <f t="shared" si="74"/>
        <v>8538.2943386443658</v>
      </c>
      <c r="I196" s="34">
        <f t="shared" si="74"/>
        <v>10620.765186951865</v>
      </c>
      <c r="J196" s="34">
        <f t="shared" si="74"/>
        <v>10620.765186951865</v>
      </c>
      <c r="K196" s="34">
        <f t="shared" si="74"/>
        <v>10620.765186951865</v>
      </c>
      <c r="L196" s="34">
        <f t="shared" si="74"/>
        <v>10649.608273493521</v>
      </c>
      <c r="M196" s="34">
        <f t="shared" si="74"/>
        <v>10620.765186951865</v>
      </c>
      <c r="N196" s="34">
        <f t="shared" si="74"/>
        <v>10620.765186951865</v>
      </c>
      <c r="O196" s="34">
        <f t="shared" si="74"/>
        <v>10620.765186951865</v>
      </c>
      <c r="P196" s="34">
        <f t="shared" si="74"/>
        <v>10649.608273493521</v>
      </c>
      <c r="Q196" s="34">
        <f t="shared" si="74"/>
        <v>0</v>
      </c>
      <c r="R196" s="34">
        <f t="shared" si="74"/>
        <v>0</v>
      </c>
      <c r="S196" s="34">
        <f t="shared" si="74"/>
        <v>0</v>
      </c>
      <c r="T196" s="34">
        <f t="shared" si="74"/>
        <v>0</v>
      </c>
      <c r="U196" s="34">
        <f t="shared" si="74"/>
        <v>0</v>
      </c>
      <c r="V196" s="34">
        <f>SUMPRODUCT($G$117:$U$117,G196:U196)</f>
        <v>97866.23124167198</v>
      </c>
    </row>
    <row r="197" spans="2:25">
      <c r="B197" s="27" t="s">
        <v>647</v>
      </c>
      <c r="C197" s="33" t="s">
        <v>648</v>
      </c>
      <c r="D197" s="33" t="s">
        <v>359</v>
      </c>
      <c r="E197" s="33" t="s">
        <v>133</v>
      </c>
      <c r="F197" s="33"/>
      <c r="G197" s="34">
        <f t="shared" ref="G197:U197" si="75">G196*(1-G$121)</f>
        <v>4185.3352674619055</v>
      </c>
      <c r="H197" s="34">
        <f t="shared" si="75"/>
        <v>8302.6374148977811</v>
      </c>
      <c r="I197" s="34">
        <f t="shared" si="75"/>
        <v>10327.632067791994</v>
      </c>
      <c r="J197" s="34">
        <f t="shared" si="75"/>
        <v>10327.632067791994</v>
      </c>
      <c r="K197" s="34">
        <f t="shared" si="75"/>
        <v>10327.632067791994</v>
      </c>
      <c r="L197" s="34">
        <f t="shared" si="75"/>
        <v>10355.679085145101</v>
      </c>
      <c r="M197" s="34">
        <f t="shared" si="75"/>
        <v>10327.632067791994</v>
      </c>
      <c r="N197" s="34">
        <f t="shared" si="75"/>
        <v>10327.632067791994</v>
      </c>
      <c r="O197" s="34">
        <f t="shared" si="75"/>
        <v>10327.632067791994</v>
      </c>
      <c r="P197" s="34">
        <f t="shared" si="75"/>
        <v>10355.679085145101</v>
      </c>
      <c r="Q197" s="34">
        <f t="shared" si="75"/>
        <v>0</v>
      </c>
      <c r="R197" s="34">
        <f t="shared" si="75"/>
        <v>0</v>
      </c>
      <c r="S197" s="34">
        <f t="shared" si="75"/>
        <v>0</v>
      </c>
      <c r="T197" s="34">
        <f t="shared" si="75"/>
        <v>0</v>
      </c>
      <c r="U197" s="34">
        <f t="shared" si="75"/>
        <v>0</v>
      </c>
      <c r="V197" s="34">
        <f>SUMPRODUCT($G$117:$U$117,G197:U197)</f>
        <v>95165.123259401851</v>
      </c>
    </row>
    <row r="198" spans="2:25">
      <c r="B198" s="27" t="s">
        <v>649</v>
      </c>
      <c r="C198" s="33" t="s">
        <v>650</v>
      </c>
      <c r="D198" s="33" t="s">
        <v>359</v>
      </c>
      <c r="E198" s="33" t="s">
        <v>137</v>
      </c>
      <c r="F198" s="33"/>
      <c r="G198" s="34">
        <f t="shared" ref="G198:U198" si="76">G196</f>
        <v>4304.1292343293962</v>
      </c>
      <c r="H198" s="34">
        <f t="shared" si="76"/>
        <v>8538.2943386443658</v>
      </c>
      <c r="I198" s="34">
        <f t="shared" si="76"/>
        <v>10620.765186951865</v>
      </c>
      <c r="J198" s="34">
        <f t="shared" si="76"/>
        <v>10620.765186951865</v>
      </c>
      <c r="K198" s="34">
        <f t="shared" si="76"/>
        <v>10620.765186951865</v>
      </c>
      <c r="L198" s="34">
        <f t="shared" si="76"/>
        <v>10649.608273493521</v>
      </c>
      <c r="M198" s="34">
        <f t="shared" si="76"/>
        <v>10620.765186951865</v>
      </c>
      <c r="N198" s="34">
        <f t="shared" si="76"/>
        <v>10620.765186951865</v>
      </c>
      <c r="O198" s="34">
        <f t="shared" si="76"/>
        <v>10620.765186951865</v>
      </c>
      <c r="P198" s="34">
        <f t="shared" si="76"/>
        <v>10649.608273493521</v>
      </c>
      <c r="Q198" s="34">
        <f t="shared" si="76"/>
        <v>0</v>
      </c>
      <c r="R198" s="34">
        <f t="shared" si="76"/>
        <v>0</v>
      </c>
      <c r="S198" s="34">
        <f t="shared" si="76"/>
        <v>0</v>
      </c>
      <c r="T198" s="34">
        <f t="shared" si="76"/>
        <v>0</v>
      </c>
      <c r="U198" s="34">
        <f t="shared" si="76"/>
        <v>0</v>
      </c>
      <c r="V198" s="34">
        <f>SUMPRODUCT($G$117:$U$117,G198:U198)</f>
        <v>97866.23124167198</v>
      </c>
    </row>
    <row r="199" spans="2:25">
      <c r="B199" s="27" t="s">
        <v>651</v>
      </c>
      <c r="C199" s="33" t="s">
        <v>652</v>
      </c>
      <c r="D199" s="33" t="s">
        <v>359</v>
      </c>
      <c r="E199" s="33" t="s">
        <v>140</v>
      </c>
      <c r="F199" s="33"/>
      <c r="G199" s="34">
        <f t="shared" ref="G199:U199" si="77">MIN(G197,G198)</f>
        <v>4185.3352674619055</v>
      </c>
      <c r="H199" s="34">
        <f t="shared" si="77"/>
        <v>8302.6374148977811</v>
      </c>
      <c r="I199" s="34">
        <f t="shared" si="77"/>
        <v>10327.632067791994</v>
      </c>
      <c r="J199" s="34">
        <f t="shared" si="77"/>
        <v>10327.632067791994</v>
      </c>
      <c r="K199" s="34">
        <f t="shared" si="77"/>
        <v>10327.632067791994</v>
      </c>
      <c r="L199" s="34">
        <f t="shared" si="77"/>
        <v>10355.679085145101</v>
      </c>
      <c r="M199" s="34">
        <f t="shared" si="77"/>
        <v>10327.632067791994</v>
      </c>
      <c r="N199" s="34">
        <f t="shared" si="77"/>
        <v>10327.632067791994</v>
      </c>
      <c r="O199" s="34">
        <f t="shared" si="77"/>
        <v>10327.632067791994</v>
      </c>
      <c r="P199" s="34">
        <f t="shared" si="77"/>
        <v>10355.679085145101</v>
      </c>
      <c r="Q199" s="34">
        <f t="shared" si="77"/>
        <v>0</v>
      </c>
      <c r="R199" s="34">
        <f t="shared" si="77"/>
        <v>0</v>
      </c>
      <c r="S199" s="34">
        <f t="shared" si="77"/>
        <v>0</v>
      </c>
      <c r="T199" s="34">
        <f t="shared" si="77"/>
        <v>0</v>
      </c>
      <c r="U199" s="34">
        <f t="shared" si="77"/>
        <v>0</v>
      </c>
      <c r="V199" s="34">
        <f>SUMPRODUCT($G$117:$U$117,G199:U199)</f>
        <v>95165.123259401851</v>
      </c>
    </row>
    <row r="200" spans="2:25">
      <c r="B200" s="27" t="s">
        <v>221</v>
      </c>
      <c r="C200" s="33" t="s">
        <v>653</v>
      </c>
      <c r="D200" s="33" t="s">
        <v>398</v>
      </c>
      <c r="E200" s="33" t="s">
        <v>220</v>
      </c>
      <c r="F200" s="33"/>
      <c r="G200" s="40">
        <v>0.95</v>
      </c>
      <c r="H200" s="40">
        <v>0.94</v>
      </c>
      <c r="I200" s="40">
        <v>0.94</v>
      </c>
      <c r="J200" s="40">
        <v>0.94</v>
      </c>
      <c r="K200" s="40">
        <v>0.94</v>
      </c>
      <c r="L200" s="40">
        <v>0.94</v>
      </c>
      <c r="M200" s="40">
        <v>0.94</v>
      </c>
      <c r="N200" s="40">
        <v>0.94</v>
      </c>
      <c r="O200" s="40">
        <v>0.94</v>
      </c>
      <c r="P200" s="40">
        <v>0.94</v>
      </c>
      <c r="Q200" s="40">
        <v>0.94</v>
      </c>
      <c r="R200" s="40">
        <v>0.94</v>
      </c>
      <c r="S200" s="40">
        <v>0.94</v>
      </c>
      <c r="T200" s="40">
        <v>0.94</v>
      </c>
      <c r="U200" s="40">
        <v>0.94</v>
      </c>
      <c r="V200" s="33"/>
      <c r="Y200" s="50" t="s">
        <v>654</v>
      </c>
    </row>
    <row r="201" spans="2:25" ht="21">
      <c r="B201" s="27" t="s">
        <v>225</v>
      </c>
      <c r="C201" s="33" t="s">
        <v>655</v>
      </c>
      <c r="D201" s="33" t="s">
        <v>398</v>
      </c>
      <c r="E201" s="33" t="s">
        <v>224</v>
      </c>
      <c r="F201" s="33"/>
      <c r="G201" s="40">
        <v>0.92</v>
      </c>
      <c r="H201" s="40">
        <v>0.93</v>
      </c>
      <c r="I201" s="40">
        <v>0.93</v>
      </c>
      <c r="J201" s="40">
        <v>0.93</v>
      </c>
      <c r="K201" s="40">
        <v>0.93</v>
      </c>
      <c r="L201" s="40">
        <v>0.93</v>
      </c>
      <c r="M201" s="40">
        <v>0.93</v>
      </c>
      <c r="N201" s="40">
        <v>0.93</v>
      </c>
      <c r="O201" s="40">
        <v>0.93</v>
      </c>
      <c r="P201" s="40">
        <v>0.93</v>
      </c>
      <c r="Q201" s="40">
        <v>0.93</v>
      </c>
      <c r="R201" s="40">
        <v>0.93</v>
      </c>
      <c r="S201" s="40">
        <v>0.93</v>
      </c>
      <c r="T201" s="40">
        <v>0.93</v>
      </c>
      <c r="U201" s="40">
        <v>0.93</v>
      </c>
      <c r="V201" s="33"/>
      <c r="Y201" s="50" t="s">
        <v>656</v>
      </c>
    </row>
    <row r="202" spans="2:25">
      <c r="B202" s="30" t="s">
        <v>657</v>
      </c>
      <c r="C202" s="33" t="s">
        <v>658</v>
      </c>
      <c r="D202" s="33" t="s">
        <v>359</v>
      </c>
      <c r="E202" s="33" t="s">
        <v>143</v>
      </c>
      <c r="F202" s="33"/>
      <c r="G202" s="31">
        <f t="shared" ref="G202:U202" si="78">G199*N(G200)*N(G201)</f>
        <v>3657.9830237617057</v>
      </c>
      <c r="H202" s="31">
        <f t="shared" si="78"/>
        <v>7258.1656281036403</v>
      </c>
      <c r="I202" s="31">
        <f t="shared" si="78"/>
        <v>9028.4159536637617</v>
      </c>
      <c r="J202" s="31">
        <f t="shared" si="78"/>
        <v>9028.4159536637617</v>
      </c>
      <c r="K202" s="31">
        <f t="shared" si="78"/>
        <v>9028.4159536637617</v>
      </c>
      <c r="L202" s="31">
        <f t="shared" si="78"/>
        <v>9052.9346562338469</v>
      </c>
      <c r="M202" s="31">
        <f t="shared" si="78"/>
        <v>9028.4159536637617</v>
      </c>
      <c r="N202" s="31">
        <f t="shared" si="78"/>
        <v>9028.4159536637617</v>
      </c>
      <c r="O202" s="31">
        <f t="shared" si="78"/>
        <v>9028.4159536637617</v>
      </c>
      <c r="P202" s="31">
        <f t="shared" si="78"/>
        <v>9052.9346562338469</v>
      </c>
      <c r="Q202" s="31">
        <f t="shared" si="78"/>
        <v>0</v>
      </c>
      <c r="R202" s="31">
        <f t="shared" si="78"/>
        <v>0</v>
      </c>
      <c r="S202" s="31">
        <f t="shared" si="78"/>
        <v>0</v>
      </c>
      <c r="T202" s="31">
        <f t="shared" si="78"/>
        <v>0</v>
      </c>
      <c r="U202" s="31">
        <f t="shared" si="78"/>
        <v>0</v>
      </c>
      <c r="V202" s="31">
        <f>SUMPRODUCT($G$117:$U$117,G202:U202)</f>
        <v>83192.513686315608</v>
      </c>
    </row>
    <row r="203" spans="2:25" ht="22.5">
      <c r="B203" s="27" t="s">
        <v>659</v>
      </c>
      <c r="C203" s="33" t="s">
        <v>660</v>
      </c>
      <c r="D203" s="33" t="s">
        <v>359</v>
      </c>
      <c r="E203" s="33" t="s">
        <v>146</v>
      </c>
      <c r="F203" s="33"/>
      <c r="G203" s="34">
        <f t="shared" ref="G203:U203" si="79">G198-G199</f>
        <v>118.79396686749078</v>
      </c>
      <c r="H203" s="34">
        <f t="shared" si="79"/>
        <v>235.65692374658465</v>
      </c>
      <c r="I203" s="34">
        <f t="shared" si="79"/>
        <v>293.13311915987106</v>
      </c>
      <c r="J203" s="34">
        <f t="shared" si="79"/>
        <v>293.13311915987106</v>
      </c>
      <c r="K203" s="34">
        <f t="shared" si="79"/>
        <v>293.13311915987106</v>
      </c>
      <c r="L203" s="34">
        <f t="shared" si="79"/>
        <v>293.92918834842021</v>
      </c>
      <c r="M203" s="34">
        <f t="shared" si="79"/>
        <v>293.13311915987106</v>
      </c>
      <c r="N203" s="34">
        <f t="shared" si="79"/>
        <v>293.13311915987106</v>
      </c>
      <c r="O203" s="34">
        <f t="shared" si="79"/>
        <v>293.13311915987106</v>
      </c>
      <c r="P203" s="34">
        <f t="shared" si="79"/>
        <v>293.92918834842021</v>
      </c>
      <c r="Q203" s="34">
        <f t="shared" si="79"/>
        <v>0</v>
      </c>
      <c r="R203" s="34">
        <f t="shared" si="79"/>
        <v>0</v>
      </c>
      <c r="S203" s="34">
        <f t="shared" si="79"/>
        <v>0</v>
      </c>
      <c r="T203" s="34">
        <f t="shared" si="79"/>
        <v>0</v>
      </c>
      <c r="U203" s="34">
        <f t="shared" si="79"/>
        <v>0</v>
      </c>
      <c r="V203" s="34">
        <f>SUMPRODUCT($G$117:$U$117,G203:U203)</f>
        <v>2701.1079822701422</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80</v>
      </c>
      <c r="H206" s="68">
        <v>120</v>
      </c>
      <c r="I206" s="68">
        <v>130</v>
      </c>
      <c r="J206" s="68">
        <v>130</v>
      </c>
      <c r="K206" s="68">
        <v>130</v>
      </c>
      <c r="L206" s="68">
        <v>130</v>
      </c>
      <c r="M206" s="68">
        <v>130</v>
      </c>
      <c r="N206" s="68">
        <v>130</v>
      </c>
      <c r="O206" s="68">
        <v>130</v>
      </c>
      <c r="P206" s="68">
        <v>130</v>
      </c>
      <c r="Q206" s="68">
        <v>130</v>
      </c>
      <c r="R206" s="68">
        <v>130</v>
      </c>
      <c r="S206" s="68">
        <v>130</v>
      </c>
      <c r="T206" s="68">
        <v>130</v>
      </c>
      <c r="U206" s="68">
        <v>130</v>
      </c>
      <c r="V206" s="43">
        <f t="shared" ref="V206:V217" si="81">SUMPRODUCT($G$117:$U$117,G206:U206)</f>
        <v>1240</v>
      </c>
      <c r="Y206" s="50" t="s">
        <v>664</v>
      </c>
    </row>
    <row r="207" spans="2:25" ht="21">
      <c r="B207" s="27" t="s">
        <v>665</v>
      </c>
      <c r="C207" s="33" t="s">
        <v>666</v>
      </c>
      <c r="D207" s="33" t="s">
        <v>359</v>
      </c>
      <c r="E207" s="33" t="s">
        <v>667</v>
      </c>
      <c r="F207" s="33"/>
      <c r="G207" s="34">
        <f t="shared" ref="G207:U207" si="82">G$117*N(G206)*$F$47</f>
        <v>104</v>
      </c>
      <c r="H207" s="34">
        <f t="shared" si="82"/>
        <v>156</v>
      </c>
      <c r="I207" s="34">
        <f t="shared" si="82"/>
        <v>169</v>
      </c>
      <c r="J207" s="34">
        <f t="shared" si="82"/>
        <v>169</v>
      </c>
      <c r="K207" s="34">
        <f t="shared" si="82"/>
        <v>169</v>
      </c>
      <c r="L207" s="34">
        <f t="shared" si="82"/>
        <v>169</v>
      </c>
      <c r="M207" s="34">
        <f t="shared" si="82"/>
        <v>169</v>
      </c>
      <c r="N207" s="34">
        <f t="shared" si="82"/>
        <v>169</v>
      </c>
      <c r="O207" s="34">
        <f t="shared" si="82"/>
        <v>169</v>
      </c>
      <c r="P207" s="34">
        <f t="shared" si="82"/>
        <v>169</v>
      </c>
      <c r="Q207" s="34">
        <f t="shared" si="82"/>
        <v>0</v>
      </c>
      <c r="R207" s="34">
        <f t="shared" si="82"/>
        <v>0</v>
      </c>
      <c r="S207" s="34">
        <f t="shared" si="82"/>
        <v>0</v>
      </c>
      <c r="T207" s="34">
        <f t="shared" si="82"/>
        <v>0</v>
      </c>
      <c r="U207" s="34">
        <f t="shared" si="82"/>
        <v>0</v>
      </c>
      <c r="V207" s="34">
        <f t="shared" si="81"/>
        <v>1612</v>
      </c>
    </row>
    <row r="208" spans="2:25">
      <c r="B208" s="27" t="s">
        <v>668</v>
      </c>
      <c r="C208" s="33"/>
      <c r="D208" s="33" t="s">
        <v>669</v>
      </c>
      <c r="E208" s="33" t="s">
        <v>155</v>
      </c>
      <c r="F208" s="33"/>
      <c r="G208" s="63">
        <v>0</v>
      </c>
      <c r="H208" s="63">
        <v>0</v>
      </c>
      <c r="I208" s="63">
        <v>0</v>
      </c>
      <c r="J208" s="63">
        <v>0</v>
      </c>
      <c r="K208" s="63">
        <v>0</v>
      </c>
      <c r="L208" s="63">
        <v>0</v>
      </c>
      <c r="M208" s="63">
        <v>0</v>
      </c>
      <c r="N208" s="63">
        <v>0</v>
      </c>
      <c r="O208" s="63">
        <v>0</v>
      </c>
      <c r="P208" s="63">
        <v>0</v>
      </c>
      <c r="Q208" s="63">
        <v>0</v>
      </c>
      <c r="R208" s="63">
        <v>0</v>
      </c>
      <c r="S208" s="63">
        <v>0</v>
      </c>
      <c r="T208" s="63">
        <v>0</v>
      </c>
      <c r="U208" s="63">
        <v>0</v>
      </c>
      <c r="V208" s="67">
        <f t="shared" si="81"/>
        <v>0</v>
      </c>
    </row>
    <row r="209" spans="2:25">
      <c r="B209" s="27" t="s">
        <v>670</v>
      </c>
      <c r="C209" s="33" t="s">
        <v>671</v>
      </c>
      <c r="D209" s="33" t="s">
        <v>359</v>
      </c>
      <c r="E209" s="33" t="s">
        <v>672</v>
      </c>
      <c r="F209" s="33"/>
      <c r="G209" s="34">
        <f t="shared" ref="G209:U209" si="83">G$117*N(G208)*$F$49/1000</f>
        <v>0</v>
      </c>
      <c r="H209" s="34">
        <f t="shared" si="83"/>
        <v>0</v>
      </c>
      <c r="I209" s="34">
        <f t="shared" si="83"/>
        <v>0</v>
      </c>
      <c r="J209" s="34">
        <f t="shared" si="83"/>
        <v>0</v>
      </c>
      <c r="K209" s="34">
        <f t="shared" si="83"/>
        <v>0</v>
      </c>
      <c r="L209" s="34">
        <f t="shared" si="83"/>
        <v>0</v>
      </c>
      <c r="M209" s="34">
        <f t="shared" si="83"/>
        <v>0</v>
      </c>
      <c r="N209" s="34">
        <f t="shared" si="83"/>
        <v>0</v>
      </c>
      <c r="O209" s="34">
        <f t="shared" si="83"/>
        <v>0</v>
      </c>
      <c r="P209" s="34">
        <f t="shared" si="83"/>
        <v>0</v>
      </c>
      <c r="Q209" s="34">
        <f t="shared" si="83"/>
        <v>0</v>
      </c>
      <c r="R209" s="34">
        <f t="shared" si="83"/>
        <v>0</v>
      </c>
      <c r="S209" s="34">
        <f t="shared" si="83"/>
        <v>0</v>
      </c>
      <c r="T209" s="34">
        <f t="shared" si="83"/>
        <v>0</v>
      </c>
      <c r="U209" s="34">
        <f t="shared" si="83"/>
        <v>0</v>
      </c>
      <c r="V209" s="34">
        <f t="shared" si="81"/>
        <v>0</v>
      </c>
    </row>
    <row r="210" spans="2:25">
      <c r="B210" s="27" t="s">
        <v>673</v>
      </c>
      <c r="C210" s="33" t="s">
        <v>674</v>
      </c>
      <c r="D210" s="33" t="s">
        <v>359</v>
      </c>
      <c r="E210" s="33" t="s">
        <v>153</v>
      </c>
      <c r="F210" s="33"/>
      <c r="G210" s="34">
        <f t="shared" ref="G210:U210" si="84">G207+G209</f>
        <v>104</v>
      </c>
      <c r="H210" s="34">
        <f t="shared" si="84"/>
        <v>156</v>
      </c>
      <c r="I210" s="34">
        <f t="shared" si="84"/>
        <v>169</v>
      </c>
      <c r="J210" s="34">
        <f t="shared" si="84"/>
        <v>169</v>
      </c>
      <c r="K210" s="34">
        <f t="shared" si="84"/>
        <v>169</v>
      </c>
      <c r="L210" s="34">
        <f t="shared" si="84"/>
        <v>169</v>
      </c>
      <c r="M210" s="34">
        <f t="shared" si="84"/>
        <v>169</v>
      </c>
      <c r="N210" s="34">
        <f t="shared" si="84"/>
        <v>169</v>
      </c>
      <c r="O210" s="34">
        <f t="shared" si="84"/>
        <v>169</v>
      </c>
      <c r="P210" s="34">
        <f t="shared" si="84"/>
        <v>169</v>
      </c>
      <c r="Q210" s="34">
        <f t="shared" si="84"/>
        <v>0</v>
      </c>
      <c r="R210" s="34">
        <f t="shared" si="84"/>
        <v>0</v>
      </c>
      <c r="S210" s="34">
        <f t="shared" si="84"/>
        <v>0</v>
      </c>
      <c r="T210" s="34">
        <f t="shared" si="84"/>
        <v>0</v>
      </c>
      <c r="U210" s="34">
        <f t="shared" si="84"/>
        <v>0</v>
      </c>
      <c r="V210" s="34">
        <f t="shared" si="81"/>
        <v>1612</v>
      </c>
    </row>
    <row r="211" spans="2:25" ht="21">
      <c r="B211" s="27" t="s">
        <v>675</v>
      </c>
      <c r="C211" s="33"/>
      <c r="D211" s="33" t="s">
        <v>669</v>
      </c>
      <c r="E211" s="33" t="s">
        <v>456</v>
      </c>
      <c r="F211" s="33"/>
      <c r="G211" s="63">
        <v>5348</v>
      </c>
      <c r="H211" s="63">
        <v>7198</v>
      </c>
      <c r="I211" s="63">
        <v>8123</v>
      </c>
      <c r="J211" s="63">
        <v>8123</v>
      </c>
      <c r="K211" s="63">
        <v>8123</v>
      </c>
      <c r="L211" s="63">
        <v>8123</v>
      </c>
      <c r="M211" s="63">
        <v>8123</v>
      </c>
      <c r="N211" s="63">
        <v>8123</v>
      </c>
      <c r="O211" s="63">
        <v>8123</v>
      </c>
      <c r="P211" s="63">
        <v>8123</v>
      </c>
      <c r="Q211" s="63">
        <v>8123</v>
      </c>
      <c r="R211" s="63">
        <v>8123</v>
      </c>
      <c r="S211" s="63">
        <v>8123</v>
      </c>
      <c r="T211" s="63">
        <v>8123</v>
      </c>
      <c r="U211" s="63">
        <v>8123</v>
      </c>
      <c r="V211" s="67">
        <f t="shared" si="81"/>
        <v>77530</v>
      </c>
      <c r="Y211" s="50" t="s">
        <v>746</v>
      </c>
    </row>
    <row r="212" spans="2:25" ht="21">
      <c r="B212" s="27" t="s">
        <v>676</v>
      </c>
      <c r="C212" s="33" t="s">
        <v>677</v>
      </c>
      <c r="D212" s="33" t="s">
        <v>359</v>
      </c>
      <c r="E212" s="33" t="s">
        <v>678</v>
      </c>
      <c r="F212" s="33"/>
      <c r="G212" s="34">
        <f t="shared" ref="G212:U212" si="85">IF($F$50="Manual, or electric on 100% RE",0,G$117*N(G211)*$F$52/1000)</f>
        <v>14.636512290399999</v>
      </c>
      <c r="H212" s="34">
        <f t="shared" si="85"/>
        <v>19.699628920399999</v>
      </c>
      <c r="I212" s="34">
        <f t="shared" si="85"/>
        <v>22.231187235399997</v>
      </c>
      <c r="J212" s="34">
        <f t="shared" si="85"/>
        <v>22.231187235399997</v>
      </c>
      <c r="K212" s="34">
        <f t="shared" si="85"/>
        <v>22.231187235399997</v>
      </c>
      <c r="L212" s="34">
        <f t="shared" si="85"/>
        <v>22.231187235399997</v>
      </c>
      <c r="M212" s="34">
        <f t="shared" si="85"/>
        <v>22.231187235399997</v>
      </c>
      <c r="N212" s="34">
        <f t="shared" si="85"/>
        <v>22.231187235399997</v>
      </c>
      <c r="O212" s="34">
        <f t="shared" si="85"/>
        <v>22.231187235399997</v>
      </c>
      <c r="P212" s="34">
        <f t="shared" si="85"/>
        <v>22.231187235399997</v>
      </c>
      <c r="Q212" s="34">
        <f t="shared" si="85"/>
        <v>0</v>
      </c>
      <c r="R212" s="34">
        <f t="shared" si="85"/>
        <v>0</v>
      </c>
      <c r="S212" s="34">
        <f t="shared" si="85"/>
        <v>0</v>
      </c>
      <c r="T212" s="34">
        <f t="shared" si="85"/>
        <v>0</v>
      </c>
      <c r="U212" s="34">
        <f t="shared" si="85"/>
        <v>0</v>
      </c>
      <c r="V212" s="34">
        <f t="shared" si="81"/>
        <v>212.18563909399998</v>
      </c>
    </row>
    <row r="213" spans="2:25" ht="31.5">
      <c r="B213" s="27" t="s">
        <v>679</v>
      </c>
      <c r="C213" s="33" t="s">
        <v>680</v>
      </c>
      <c r="D213" s="33" t="s">
        <v>359</v>
      </c>
      <c r="E213" s="33" t="s">
        <v>681</v>
      </c>
      <c r="F213" s="33"/>
      <c r="G213" s="69">
        <v>148.69999999999999</v>
      </c>
      <c r="H213" s="69">
        <v>298.2</v>
      </c>
      <c r="I213" s="69">
        <v>371.7</v>
      </c>
      <c r="J213" s="69">
        <v>371.7</v>
      </c>
      <c r="K213" s="69">
        <v>371.7</v>
      </c>
      <c r="L213" s="69">
        <v>372.8</v>
      </c>
      <c r="M213" s="69">
        <v>371.7</v>
      </c>
      <c r="N213" s="69">
        <v>371.7</v>
      </c>
      <c r="O213" s="69">
        <v>371.7</v>
      </c>
      <c r="P213" s="69">
        <v>372.8</v>
      </c>
      <c r="Q213" s="69">
        <v>371.7</v>
      </c>
      <c r="R213" s="69">
        <v>371.7</v>
      </c>
      <c r="S213" s="69">
        <v>371.7</v>
      </c>
      <c r="T213" s="69">
        <v>372.8</v>
      </c>
      <c r="U213" s="69">
        <v>371.7</v>
      </c>
      <c r="V213" s="34">
        <f t="shared" si="81"/>
        <v>3422.7</v>
      </c>
      <c r="Y213" s="50" t="s">
        <v>682</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60.756857142857143</v>
      </c>
      <c r="H215" s="34">
        <f t="shared" si="86"/>
        <v>60.756857142857143</v>
      </c>
      <c r="I215" s="34">
        <f t="shared" si="86"/>
        <v>60.756857142857143</v>
      </c>
      <c r="J215" s="34">
        <f t="shared" si="86"/>
        <v>60.756857142857143</v>
      </c>
      <c r="K215" s="34">
        <f t="shared" si="86"/>
        <v>60.756857142857143</v>
      </c>
      <c r="L215" s="34">
        <f t="shared" si="86"/>
        <v>60.756857142857143</v>
      </c>
      <c r="M215" s="34">
        <f t="shared" si="86"/>
        <v>60.756857142857143</v>
      </c>
      <c r="N215" s="34">
        <f t="shared" si="86"/>
        <v>60.756857142857143</v>
      </c>
      <c r="O215" s="34">
        <f t="shared" si="86"/>
        <v>60.756857142857143</v>
      </c>
      <c r="P215" s="34">
        <f t="shared" si="86"/>
        <v>60.756857142857143</v>
      </c>
      <c r="Q215" s="34">
        <f t="shared" si="86"/>
        <v>0</v>
      </c>
      <c r="R215" s="34">
        <f t="shared" si="86"/>
        <v>0</v>
      </c>
      <c r="S215" s="34">
        <f t="shared" si="86"/>
        <v>0</v>
      </c>
      <c r="T215" s="34">
        <f t="shared" si="86"/>
        <v>0</v>
      </c>
      <c r="U215" s="34">
        <f t="shared" si="86"/>
        <v>0</v>
      </c>
      <c r="V215" s="34">
        <f t="shared" si="81"/>
        <v>607.56857142857143</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0</v>
      </c>
      <c r="H216" s="34">
        <f t="shared" si="87"/>
        <v>0</v>
      </c>
      <c r="I216" s="34">
        <f t="shared" si="87"/>
        <v>0</v>
      </c>
      <c r="J216" s="34">
        <f t="shared" si="87"/>
        <v>0</v>
      </c>
      <c r="K216" s="34">
        <f t="shared" si="87"/>
        <v>0</v>
      </c>
      <c r="L216" s="34">
        <f t="shared" si="87"/>
        <v>0</v>
      </c>
      <c r="M216" s="34">
        <f t="shared" si="87"/>
        <v>0</v>
      </c>
      <c r="N216" s="34">
        <f t="shared" si="87"/>
        <v>0</v>
      </c>
      <c r="O216" s="34">
        <f t="shared" si="87"/>
        <v>0</v>
      </c>
      <c r="P216" s="34">
        <f t="shared" si="87"/>
        <v>0</v>
      </c>
      <c r="Q216" s="34">
        <f t="shared" si="87"/>
        <v>0</v>
      </c>
      <c r="R216" s="34">
        <f t="shared" si="87"/>
        <v>0</v>
      </c>
      <c r="S216" s="34">
        <f t="shared" si="87"/>
        <v>0</v>
      </c>
      <c r="T216" s="34">
        <f t="shared" si="87"/>
        <v>0</v>
      </c>
      <c r="U216" s="34">
        <f t="shared" si="87"/>
        <v>0</v>
      </c>
      <c r="V216" s="34">
        <f t="shared" si="81"/>
        <v>0</v>
      </c>
    </row>
    <row r="217" spans="2:25">
      <c r="B217" s="27" t="s">
        <v>692</v>
      </c>
      <c r="C217" s="33"/>
      <c r="D217" s="33" t="s">
        <v>693</v>
      </c>
      <c r="E217" s="33" t="s">
        <v>257</v>
      </c>
      <c r="F217" s="33"/>
      <c r="G217" s="63">
        <v>0</v>
      </c>
      <c r="H217" s="63">
        <v>0</v>
      </c>
      <c r="I217" s="63">
        <v>0</v>
      </c>
      <c r="J217" s="63">
        <v>0</v>
      </c>
      <c r="K217" s="63">
        <v>0</v>
      </c>
      <c r="L217" s="63">
        <v>0</v>
      </c>
      <c r="M217" s="63">
        <v>0</v>
      </c>
      <c r="N217" s="63">
        <v>0</v>
      </c>
      <c r="O217" s="63">
        <v>0</v>
      </c>
      <c r="P217" s="63">
        <v>0</v>
      </c>
      <c r="Q217" s="63">
        <v>0</v>
      </c>
      <c r="R217" s="63">
        <v>0</v>
      </c>
      <c r="S217" s="63">
        <v>0</v>
      </c>
      <c r="T217" s="63">
        <v>0</v>
      </c>
      <c r="U217" s="63">
        <v>0</v>
      </c>
      <c r="V217" s="67">
        <f t="shared" si="81"/>
        <v>0</v>
      </c>
      <c r="Y217" s="50" t="s">
        <v>694</v>
      </c>
    </row>
    <row r="218" spans="2:25" ht="22.5">
      <c r="B218" s="27" t="s">
        <v>695</v>
      </c>
      <c r="C218" s="33"/>
      <c r="D218" s="33" t="s">
        <v>696</v>
      </c>
      <c r="E218" s="33" t="s">
        <v>257</v>
      </c>
      <c r="F218" s="33"/>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33"/>
    </row>
    <row r="219" spans="2:25">
      <c r="B219" s="27" t="s">
        <v>697</v>
      </c>
      <c r="C219" s="33"/>
      <c r="D219" s="33" t="s">
        <v>359</v>
      </c>
      <c r="E219" s="33" t="s">
        <v>156</v>
      </c>
      <c r="F219" s="33"/>
      <c r="G219" s="34">
        <f t="shared" ref="G219:U219" si="88">G$117*N(G217)*N(G218)*$F$25*$F$55*$F$30/1000</f>
        <v>0</v>
      </c>
      <c r="H219" s="34">
        <f t="shared" si="88"/>
        <v>0</v>
      </c>
      <c r="I219" s="34">
        <f t="shared" si="88"/>
        <v>0</v>
      </c>
      <c r="J219" s="34">
        <f t="shared" si="88"/>
        <v>0</v>
      </c>
      <c r="K219" s="34">
        <f t="shared" si="88"/>
        <v>0</v>
      </c>
      <c r="L219" s="34">
        <f t="shared" si="88"/>
        <v>0</v>
      </c>
      <c r="M219" s="34">
        <f t="shared" si="88"/>
        <v>0</v>
      </c>
      <c r="N219" s="34">
        <f t="shared" si="88"/>
        <v>0</v>
      </c>
      <c r="O219" s="34">
        <f t="shared" si="88"/>
        <v>0</v>
      </c>
      <c r="P219" s="34">
        <f t="shared" si="88"/>
        <v>0</v>
      </c>
      <c r="Q219" s="34">
        <f t="shared" si="88"/>
        <v>0</v>
      </c>
      <c r="R219" s="34">
        <f t="shared" si="88"/>
        <v>0</v>
      </c>
      <c r="S219" s="34">
        <f t="shared" si="88"/>
        <v>0</v>
      </c>
      <c r="T219" s="34">
        <f t="shared" si="88"/>
        <v>0</v>
      </c>
      <c r="U219" s="34">
        <f t="shared" si="88"/>
        <v>0</v>
      </c>
      <c r="V219" s="34">
        <f>SUMPRODUCT($G$117:$U$117,G219:U219)</f>
        <v>0</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0</v>
      </c>
      <c r="H221" s="34">
        <f t="shared" si="89"/>
        <v>0</v>
      </c>
      <c r="I221" s="34">
        <f t="shared" si="89"/>
        <v>0</v>
      </c>
      <c r="J221" s="34">
        <f t="shared" si="89"/>
        <v>0</v>
      </c>
      <c r="K221" s="34">
        <f t="shared" si="89"/>
        <v>0</v>
      </c>
      <c r="L221" s="34">
        <f t="shared" si="89"/>
        <v>0</v>
      </c>
      <c r="M221" s="34">
        <f t="shared" si="89"/>
        <v>0</v>
      </c>
      <c r="N221" s="34">
        <f t="shared" si="89"/>
        <v>0</v>
      </c>
      <c r="O221" s="34">
        <f t="shared" si="89"/>
        <v>0</v>
      </c>
      <c r="P221" s="34">
        <f t="shared" si="89"/>
        <v>0</v>
      </c>
      <c r="Q221" s="34">
        <f t="shared" si="89"/>
        <v>0</v>
      </c>
      <c r="R221" s="34">
        <f t="shared" si="89"/>
        <v>0</v>
      </c>
      <c r="S221" s="34">
        <f t="shared" si="89"/>
        <v>0</v>
      </c>
      <c r="T221" s="34">
        <f t="shared" si="89"/>
        <v>0</v>
      </c>
      <c r="U221" s="34">
        <f t="shared" si="89"/>
        <v>0</v>
      </c>
      <c r="V221" s="34">
        <f>SUMPRODUCT($G$117:$U$117,G221:U221)</f>
        <v>0</v>
      </c>
    </row>
    <row r="222" spans="2:25">
      <c r="B222" s="30" t="s">
        <v>701</v>
      </c>
      <c r="C222" s="33" t="s">
        <v>702</v>
      </c>
      <c r="D222" s="33" t="s">
        <v>359</v>
      </c>
      <c r="E222" s="33" t="s">
        <v>149</v>
      </c>
      <c r="F222" s="33"/>
      <c r="G222" s="31">
        <f t="shared" ref="G222:U222" si="90">G210+G212+G$117*(N(G213)+N(G214))+G215+G216+G221</f>
        <v>328.09336943325712</v>
      </c>
      <c r="H222" s="31">
        <f t="shared" si="90"/>
        <v>534.65648606325715</v>
      </c>
      <c r="I222" s="31">
        <f t="shared" si="90"/>
        <v>623.68804437825713</v>
      </c>
      <c r="J222" s="31">
        <f t="shared" si="90"/>
        <v>623.68804437825713</v>
      </c>
      <c r="K222" s="31">
        <f t="shared" si="90"/>
        <v>623.68804437825713</v>
      </c>
      <c r="L222" s="31">
        <f t="shared" si="90"/>
        <v>624.78804437825715</v>
      </c>
      <c r="M222" s="31">
        <f t="shared" si="90"/>
        <v>623.68804437825713</v>
      </c>
      <c r="N222" s="31">
        <f t="shared" si="90"/>
        <v>623.68804437825713</v>
      </c>
      <c r="O222" s="31">
        <f t="shared" si="90"/>
        <v>623.68804437825713</v>
      </c>
      <c r="P222" s="31">
        <f t="shared" si="90"/>
        <v>624.78804437825715</v>
      </c>
      <c r="Q222" s="31">
        <f t="shared" si="90"/>
        <v>0</v>
      </c>
      <c r="R222" s="31">
        <f t="shared" si="90"/>
        <v>0</v>
      </c>
      <c r="S222" s="31">
        <f t="shared" si="90"/>
        <v>0</v>
      </c>
      <c r="T222" s="31">
        <f t="shared" si="90"/>
        <v>0</v>
      </c>
      <c r="U222" s="31">
        <f t="shared" si="90"/>
        <v>0</v>
      </c>
      <c r="V222" s="31">
        <f>SUMPRODUCT($G$117:$U$117,G222:U222)</f>
        <v>5854.454210522571</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CBS containers, batch 1</v>
      </c>
      <c r="C225" s="33" t="str">
        <f>IF($G$101="","",$G$101)</f>
        <v>Tier 1</v>
      </c>
      <c r="D225" s="33" t="s">
        <v>359</v>
      </c>
      <c r="E225" s="33" t="s">
        <v>174</v>
      </c>
      <c r="F225" s="33"/>
      <c r="G225" s="34">
        <f t="shared" ref="G225:U225" si="92">IF(OR(G$117=0,$G$101="",N($G$107)=0),0,IF($G$101="Tier 1",IF(AND(G$114&gt;=$G$108,IF(N($G$109)&gt;0,MOD(G$114-$G$108,$G$109)=0,G$114=$G$108)),$G$107,0),$G$107/($G$110*365)*MAX(0,MIN(G$119+1,$G$111+$G$110*365)-MAX(G$118,$G$111))))</f>
        <v>320</v>
      </c>
      <c r="H225" s="34">
        <f t="shared" si="92"/>
        <v>0</v>
      </c>
      <c r="I225" s="34">
        <f t="shared" si="92"/>
        <v>0</v>
      </c>
      <c r="J225" s="34">
        <f t="shared" si="92"/>
        <v>320</v>
      </c>
      <c r="K225" s="34">
        <f t="shared" si="92"/>
        <v>0</v>
      </c>
      <c r="L225" s="34">
        <f t="shared" si="92"/>
        <v>0</v>
      </c>
      <c r="M225" s="34">
        <f t="shared" si="92"/>
        <v>320</v>
      </c>
      <c r="N225" s="34">
        <f t="shared" si="92"/>
        <v>0</v>
      </c>
      <c r="O225" s="34">
        <f t="shared" si="92"/>
        <v>0</v>
      </c>
      <c r="P225" s="34">
        <f t="shared" si="92"/>
        <v>320</v>
      </c>
      <c r="Q225" s="34">
        <f t="shared" si="92"/>
        <v>0</v>
      </c>
      <c r="R225" s="34">
        <f t="shared" si="92"/>
        <v>0</v>
      </c>
      <c r="S225" s="34">
        <f t="shared" si="92"/>
        <v>0</v>
      </c>
      <c r="T225" s="34">
        <f t="shared" si="92"/>
        <v>0</v>
      </c>
      <c r="U225" s="34">
        <f t="shared" si="92"/>
        <v>0</v>
      </c>
      <c r="V225" s="34">
        <f t="shared" ref="V225:V240" si="93">SUMPRODUCT($G$117:$U$117,G225:U225)</f>
        <v>1280</v>
      </c>
      <c r="W225" s="34">
        <f t="shared" ref="W225:W232" si="94">IF($F$44&gt;0,SUMPRODUCT(($G$114:$U$114&lt;=$F$44)*(G225:U225)),0)</f>
        <v>0</v>
      </c>
      <c r="X225" s="34">
        <f>IF(AND($F$44&gt;0,$G$101&lt;&gt;"",$G$101&lt;&gt;"Tier 1",N($G$108)&lt;=$F$44),$G$107-W225,0)</f>
        <v>0</v>
      </c>
    </row>
    <row r="226" spans="2:25">
      <c r="B226" s="27" t="str">
        <f>"Item 2: "&amp;IF($H$100="","not used",$H$100)</f>
        <v>Item 2: CBS containers, batch 2</v>
      </c>
      <c r="C226" s="33" t="str">
        <f>IF($H$101="","",$H$101)</f>
        <v>Tier 1</v>
      </c>
      <c r="D226" s="33" t="s">
        <v>359</v>
      </c>
      <c r="E226" s="33" t="s">
        <v>174</v>
      </c>
      <c r="F226" s="33"/>
      <c r="G226" s="34">
        <f t="shared" ref="G226:U226" si="95">IF(OR(G$117=0,$H$101="",N($H$107)=0),0,IF($H$101="Tier 1",IF(AND(G$114&gt;=$H$108,IF(N($H$109)&gt;0,MOD(G$114-$H$108,$H$109)=0,G$114=$H$108)),$H$107,0),$H$107/($H$110*365)*MAX(0,MIN(G$119+1,$H$111+$H$110*365)-MAX(G$118,$H$111))))</f>
        <v>0</v>
      </c>
      <c r="H226" s="34">
        <f t="shared" si="95"/>
        <v>320</v>
      </c>
      <c r="I226" s="34">
        <f t="shared" si="95"/>
        <v>0</v>
      </c>
      <c r="J226" s="34">
        <f t="shared" si="95"/>
        <v>0</v>
      </c>
      <c r="K226" s="34">
        <f t="shared" si="95"/>
        <v>320</v>
      </c>
      <c r="L226" s="34">
        <f t="shared" si="95"/>
        <v>0</v>
      </c>
      <c r="M226" s="34">
        <f t="shared" si="95"/>
        <v>0</v>
      </c>
      <c r="N226" s="34">
        <f t="shared" si="95"/>
        <v>320</v>
      </c>
      <c r="O226" s="34">
        <f t="shared" si="95"/>
        <v>0</v>
      </c>
      <c r="P226" s="34">
        <f t="shared" si="95"/>
        <v>0</v>
      </c>
      <c r="Q226" s="34">
        <f t="shared" si="95"/>
        <v>0</v>
      </c>
      <c r="R226" s="34">
        <f t="shared" si="95"/>
        <v>0</v>
      </c>
      <c r="S226" s="34">
        <f t="shared" si="95"/>
        <v>0</v>
      </c>
      <c r="T226" s="34">
        <f t="shared" si="95"/>
        <v>0</v>
      </c>
      <c r="U226" s="34">
        <f t="shared" si="95"/>
        <v>0</v>
      </c>
      <c r="V226" s="34">
        <f t="shared" si="93"/>
        <v>960</v>
      </c>
      <c r="W226" s="34">
        <f t="shared" si="94"/>
        <v>0</v>
      </c>
      <c r="X226" s="34">
        <f>IF(AND($F$44&gt;0,$H$101&lt;&gt;"",$H$101&lt;&gt;"Tier 1",N($H$108)&lt;=$F$44),$H$107-W226,0)</f>
        <v>0</v>
      </c>
    </row>
    <row r="227" spans="2:25">
      <c r="B227" s="27" t="str">
        <f>"Item 3: "&amp;IF($I$100="","not used",$I$100)</f>
        <v>Item 3: CBS containers, batch 3</v>
      </c>
      <c r="C227" s="33" t="str">
        <f>IF($I$101="","",$I$101)</f>
        <v>Tier 1</v>
      </c>
      <c r="D227" s="33" t="s">
        <v>359</v>
      </c>
      <c r="E227" s="33" t="s">
        <v>174</v>
      </c>
      <c r="F227" s="33"/>
      <c r="G227" s="34">
        <f t="shared" ref="G227:U227" si="96">IF(OR(G$117=0,$I$101="",N($I$107)=0),0,IF($I$101="Tier 1",IF(AND(G$114&gt;=$I$108,IF(N($I$109)&gt;0,MOD(G$114-$I$108,$I$109)=0,G$114=$I$108)),$I$107,0),$I$107/($I$110*365)*MAX(0,MIN(G$119+1,$I$111+$I$110*365)-MAX(G$118,$I$111))))</f>
        <v>0</v>
      </c>
      <c r="H227" s="34">
        <f t="shared" si="96"/>
        <v>0</v>
      </c>
      <c r="I227" s="34">
        <f t="shared" si="96"/>
        <v>160</v>
      </c>
      <c r="J227" s="34">
        <f t="shared" si="96"/>
        <v>0</v>
      </c>
      <c r="K227" s="34">
        <f t="shared" si="96"/>
        <v>0</v>
      </c>
      <c r="L227" s="34">
        <f t="shared" si="96"/>
        <v>160</v>
      </c>
      <c r="M227" s="34">
        <f t="shared" si="96"/>
        <v>0</v>
      </c>
      <c r="N227" s="34">
        <f t="shared" si="96"/>
        <v>0</v>
      </c>
      <c r="O227" s="34">
        <f t="shared" si="96"/>
        <v>160</v>
      </c>
      <c r="P227" s="34">
        <f t="shared" si="96"/>
        <v>0</v>
      </c>
      <c r="Q227" s="34">
        <f t="shared" si="96"/>
        <v>0</v>
      </c>
      <c r="R227" s="34">
        <f t="shared" si="96"/>
        <v>0</v>
      </c>
      <c r="S227" s="34">
        <f t="shared" si="96"/>
        <v>0</v>
      </c>
      <c r="T227" s="34">
        <f t="shared" si="96"/>
        <v>0</v>
      </c>
      <c r="U227" s="34">
        <f t="shared" si="96"/>
        <v>0</v>
      </c>
      <c r="V227" s="34">
        <f t="shared" si="93"/>
        <v>480</v>
      </c>
      <c r="W227" s="34">
        <f t="shared" si="94"/>
        <v>0</v>
      </c>
      <c r="X227" s="34">
        <f>IF(AND($F$44&gt;0,$I$101&lt;&gt;"",$I$101&lt;&gt;"Tier 1",N($I$108)&lt;=$F$44),$I$107-W227,0)</f>
        <v>0</v>
      </c>
    </row>
    <row r="228" spans="2:25">
      <c r="B228" s="27" t="str">
        <f>"Item 4: "&amp;IF($J$100="","not used",$J$100)</f>
        <v>Item 4: Transfer kiosks (blockwork)</v>
      </c>
      <c r="C228" s="33" t="str">
        <f>IF($J$101="","",$J$101)</f>
        <v>Tier 2</v>
      </c>
      <c r="D228" s="33" t="s">
        <v>359</v>
      </c>
      <c r="E228" s="33" t="s">
        <v>174</v>
      </c>
      <c r="F228" s="33"/>
      <c r="G228" s="34">
        <f t="shared" ref="G228:U228" si="97">IF(OR(G$117=0,$J$101="",N($J$107)=0),0,IF($J$101="Tier 1",IF(AND(G$114&gt;=$J$108,IF(N($J$109)&gt;0,MOD(G$114-$J$108,$J$109)=0,G$114=$J$108)),$J$107,0),$J$107/($J$110*365)*MAX(0,MIN(G$119+1,$J$111+$J$110*365)-MAX(G$118,$J$111))))</f>
        <v>6.24</v>
      </c>
      <c r="H228" s="34">
        <f t="shared" si="97"/>
        <v>6.2570958904109588</v>
      </c>
      <c r="I228" s="34">
        <f t="shared" si="97"/>
        <v>6.24</v>
      </c>
      <c r="J228" s="34">
        <f t="shared" si="97"/>
        <v>6.24</v>
      </c>
      <c r="K228" s="34">
        <f t="shared" si="97"/>
        <v>6.2229041095890416</v>
      </c>
      <c r="L228" s="34">
        <f t="shared" si="97"/>
        <v>0</v>
      </c>
      <c r="M228" s="34">
        <f t="shared" si="97"/>
        <v>0</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31.2</v>
      </c>
      <c r="W228" s="34">
        <f t="shared" si="94"/>
        <v>0</v>
      </c>
      <c r="X228" s="34">
        <f>IF(AND($F$44&gt;0,$J$101&lt;&gt;"",$J$101&lt;&gt;"Tier 1",N($J$108)&lt;=$F$44),$J$107-W228,0)</f>
        <v>0</v>
      </c>
    </row>
    <row r="229" spans="2:25">
      <c r="B229" s="27" t="str">
        <f>"Item 5: "&amp;IF($K$100="","not used",$K$100)</f>
        <v>Item 5: Composting site (reinforced concrete)</v>
      </c>
      <c r="C229" s="33" t="str">
        <f>IF($K$101="","",$K$101)</f>
        <v>Tier 3</v>
      </c>
      <c r="D229" s="33" t="s">
        <v>359</v>
      </c>
      <c r="E229" s="33" t="s">
        <v>174</v>
      </c>
      <c r="F229" s="33"/>
      <c r="G229" s="34">
        <f t="shared" ref="G229:U229" si="98">IF(OR(G$117=0,$K$101="",N($K$107)=0),0,IF($K$101="Tier 1",IF(AND(G$114&gt;=$K$108,IF(N($K$109)&gt;0,MOD(G$114-$K$108,$K$109)=0,G$114=$K$108)),$K$107,0),$K$107/($K$110*365)*MAX(0,MIN(G$119+1,$K$111+$K$110*365)-MAX(G$118,$K$111))))</f>
        <v>54</v>
      </c>
      <c r="H229" s="34">
        <f t="shared" si="98"/>
        <v>54.147945205479452</v>
      </c>
      <c r="I229" s="34">
        <f t="shared" si="98"/>
        <v>54</v>
      </c>
      <c r="J229" s="34">
        <f t="shared" si="98"/>
        <v>54</v>
      </c>
      <c r="K229" s="34">
        <f t="shared" si="98"/>
        <v>53.852054794520548</v>
      </c>
      <c r="L229" s="34">
        <f t="shared" si="98"/>
        <v>0</v>
      </c>
      <c r="M229" s="34">
        <f t="shared" si="98"/>
        <v>0</v>
      </c>
      <c r="N229" s="34">
        <f t="shared" si="98"/>
        <v>0</v>
      </c>
      <c r="O229" s="34">
        <f t="shared" si="98"/>
        <v>0</v>
      </c>
      <c r="P229" s="34">
        <f t="shared" si="98"/>
        <v>0</v>
      </c>
      <c r="Q229" s="34">
        <f t="shared" si="98"/>
        <v>0</v>
      </c>
      <c r="R229" s="34">
        <f t="shared" si="98"/>
        <v>0</v>
      </c>
      <c r="S229" s="34">
        <f t="shared" si="98"/>
        <v>0</v>
      </c>
      <c r="T229" s="34">
        <f t="shared" si="98"/>
        <v>0</v>
      </c>
      <c r="U229" s="34">
        <f t="shared" si="98"/>
        <v>0</v>
      </c>
      <c r="V229" s="34">
        <f t="shared" si="93"/>
        <v>270</v>
      </c>
      <c r="W229" s="34">
        <f t="shared" si="94"/>
        <v>0</v>
      </c>
      <c r="X229" s="34">
        <f>IF(AND($F$44&gt;0,$K$101&lt;&gt;"",$K$101&lt;&gt;"Tier 1",N($K$108)&lt;=$F$44),$K$107-W229,0)</f>
        <v>0</v>
      </c>
    </row>
    <row r="230" spans="2:25">
      <c r="B230" s="27" t="str">
        <f>"Item 6: "&amp;IF($L$100="","not used",$L$100)</f>
        <v>Item 6: Drying beds (reinforced concrete)</v>
      </c>
      <c r="C230" s="33" t="str">
        <f>IF($L$101="","",$L$101)</f>
        <v>Tier 3</v>
      </c>
      <c r="D230" s="33" t="s">
        <v>359</v>
      </c>
      <c r="E230" s="33" t="s">
        <v>174</v>
      </c>
      <c r="F230" s="33"/>
      <c r="G230" s="34">
        <f t="shared" ref="G230:U230" si="99">IF(OR(G$117=0,$L$101="",N($L$107)=0),0,IF($L$101="Tier 1",IF(AND(G$114&gt;=$L$108,IF(N($L$109)&gt;0,MOD(G$114-$L$108,$L$109)=0,G$114=$L$108)),$L$107,0),$L$107/($L$110*365)*MAX(0,MIN(G$119+1,$L$111+$L$110*365)-MAX(G$118,$L$111))))</f>
        <v>14.4</v>
      </c>
      <c r="H230" s="34">
        <f t="shared" si="99"/>
        <v>14.43945205479452</v>
      </c>
      <c r="I230" s="34">
        <f t="shared" si="99"/>
        <v>14.4</v>
      </c>
      <c r="J230" s="34">
        <f t="shared" si="99"/>
        <v>14.4</v>
      </c>
      <c r="K230" s="34">
        <f t="shared" si="99"/>
        <v>14.360547945205479</v>
      </c>
      <c r="L230" s="34">
        <f t="shared" si="99"/>
        <v>0</v>
      </c>
      <c r="M230" s="34">
        <f t="shared" si="99"/>
        <v>0</v>
      </c>
      <c r="N230" s="34">
        <f t="shared" si="99"/>
        <v>0</v>
      </c>
      <c r="O230" s="34">
        <f t="shared" si="99"/>
        <v>0</v>
      </c>
      <c r="P230" s="34">
        <f t="shared" si="99"/>
        <v>0</v>
      </c>
      <c r="Q230" s="34">
        <f t="shared" si="99"/>
        <v>0</v>
      </c>
      <c r="R230" s="34">
        <f t="shared" si="99"/>
        <v>0</v>
      </c>
      <c r="S230" s="34">
        <f t="shared" si="99"/>
        <v>0</v>
      </c>
      <c r="T230" s="34">
        <f t="shared" si="99"/>
        <v>0</v>
      </c>
      <c r="U230" s="34">
        <f t="shared" si="99"/>
        <v>0</v>
      </c>
      <c r="V230" s="34">
        <f t="shared" si="93"/>
        <v>72</v>
      </c>
      <c r="W230" s="34">
        <f t="shared" si="94"/>
        <v>0</v>
      </c>
      <c r="X230" s="34">
        <f>IF(AND($F$44&gt;0,$L$101&lt;&gt;"",$L$101&lt;&gt;"Tier 1",N($L$108)&lt;=$F$44),$L$107-W230,0)</f>
        <v>0</v>
      </c>
    </row>
    <row r="231" spans="2:25">
      <c r="B231" s="27" t="str">
        <f>"Item 7: "&amp;IF($M$100="","not used",$M$100)</f>
        <v>Item 7: Vacuum trucks</v>
      </c>
      <c r="C231" s="33" t="str">
        <f>IF($M$101="","",$M$101)</f>
        <v>Tier 3</v>
      </c>
      <c r="D231" s="33" t="s">
        <v>359</v>
      </c>
      <c r="E231" s="33" t="s">
        <v>174</v>
      </c>
      <c r="F231" s="33"/>
      <c r="G231" s="34">
        <f t="shared" ref="G231:U231" si="100">IF(OR(G$117=0,$M$101="",N($M$107)=0),0,IF($M$101="Tier 1",IF(AND(G$114&gt;=$M$108,IF(N($M$109)&gt;0,MOD(G$114-$M$108,$M$109)=0,G$114=$M$108)),$M$107,0),$M$107/($M$110*365)*MAX(0,MIN(G$119+1,$M$111+$M$110*365)-MAX(G$118,$M$111))))</f>
        <v>8.64</v>
      </c>
      <c r="H231" s="34">
        <f t="shared" si="100"/>
        <v>8.6636712328767125</v>
      </c>
      <c r="I231" s="34">
        <f t="shared" si="100"/>
        <v>8.64</v>
      </c>
      <c r="J231" s="34">
        <f t="shared" si="100"/>
        <v>8.64</v>
      </c>
      <c r="K231" s="34">
        <f t="shared" si="100"/>
        <v>8.6163287671232887</v>
      </c>
      <c r="L231" s="34">
        <f t="shared" si="100"/>
        <v>0</v>
      </c>
      <c r="M231" s="34">
        <f t="shared" si="100"/>
        <v>0</v>
      </c>
      <c r="N231" s="34">
        <f t="shared" si="100"/>
        <v>0</v>
      </c>
      <c r="O231" s="34">
        <f t="shared" si="100"/>
        <v>0</v>
      </c>
      <c r="P231" s="34">
        <f t="shared" si="100"/>
        <v>0</v>
      </c>
      <c r="Q231" s="34">
        <f t="shared" si="100"/>
        <v>0</v>
      </c>
      <c r="R231" s="34">
        <f t="shared" si="100"/>
        <v>0</v>
      </c>
      <c r="S231" s="34">
        <f t="shared" si="100"/>
        <v>0</v>
      </c>
      <c r="T231" s="34">
        <f t="shared" si="100"/>
        <v>0</v>
      </c>
      <c r="U231" s="34">
        <f t="shared" si="100"/>
        <v>0</v>
      </c>
      <c r="V231" s="34">
        <f t="shared" si="93"/>
        <v>43.2</v>
      </c>
      <c r="W231" s="34">
        <f t="shared" si="94"/>
        <v>0</v>
      </c>
      <c r="X231" s="34">
        <f>IF(AND($F$44&gt;0,$M$101&lt;&gt;"",$M$101&lt;&gt;"Tier 1",N($M$108)&lt;=$F$44),$M$107-W231,0)</f>
        <v>0</v>
      </c>
    </row>
    <row r="232" spans="2:25">
      <c r="B232" s="27" t="str">
        <f>"Item 8: "&amp;IF($N$100="","not used",$N$100)</f>
        <v>Item 8: CBS transfer trucks</v>
      </c>
      <c r="C232" s="33" t="str">
        <f>IF($N$101="","",$N$101)</f>
        <v>Tier 3</v>
      </c>
      <c r="D232" s="33" t="s">
        <v>359</v>
      </c>
      <c r="E232" s="33" t="s">
        <v>174</v>
      </c>
      <c r="F232" s="33"/>
      <c r="G232" s="34">
        <f t="shared" ref="G232:U232" si="101">IF(OR(G$117=0,$N$101="",N($N$107)=0),0,IF($N$101="Tier 1",IF(AND(G$114&gt;=$N$108,IF(N($N$109)&gt;0,MOD(G$114-$N$108,$N$109)=0,G$114=$N$108)),$N$107,0),$N$107/($N$110*365)*MAX(0,MIN(G$119+1,$N$111+$N$110*365)-MAX(G$118,$N$111))))</f>
        <v>8.9599999999999991</v>
      </c>
      <c r="H232" s="34">
        <f t="shared" si="101"/>
        <v>8.9845479452054793</v>
      </c>
      <c r="I232" s="34">
        <f t="shared" si="101"/>
        <v>8.9599999999999991</v>
      </c>
      <c r="J232" s="34">
        <f t="shared" si="101"/>
        <v>8.9599999999999991</v>
      </c>
      <c r="K232" s="34">
        <f t="shared" si="101"/>
        <v>8.9354520547945206</v>
      </c>
      <c r="L232" s="34">
        <f t="shared" si="101"/>
        <v>0</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44.8</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412.23999999999995</v>
      </c>
      <c r="H233" s="34">
        <f t="shared" si="102"/>
        <v>412.49271232876708</v>
      </c>
      <c r="I233" s="34">
        <f t="shared" si="102"/>
        <v>252.24000000000004</v>
      </c>
      <c r="J233" s="34">
        <f t="shared" si="102"/>
        <v>412.23999999999995</v>
      </c>
      <c r="K233" s="34">
        <f t="shared" si="102"/>
        <v>411.98728767123282</v>
      </c>
      <c r="L233" s="34">
        <f t="shared" si="102"/>
        <v>160</v>
      </c>
      <c r="M233" s="34">
        <f t="shared" si="102"/>
        <v>320</v>
      </c>
      <c r="N233" s="34">
        <f t="shared" si="102"/>
        <v>320</v>
      </c>
      <c r="O233" s="34">
        <f t="shared" si="102"/>
        <v>160</v>
      </c>
      <c r="P233" s="34">
        <f t="shared" si="102"/>
        <v>320</v>
      </c>
      <c r="Q233" s="34">
        <f t="shared" si="102"/>
        <v>0</v>
      </c>
      <c r="R233" s="34">
        <f t="shared" si="102"/>
        <v>0</v>
      </c>
      <c r="S233" s="34">
        <f t="shared" si="102"/>
        <v>0</v>
      </c>
      <c r="T233" s="34">
        <f t="shared" si="102"/>
        <v>0</v>
      </c>
      <c r="U233" s="34">
        <f t="shared" si="102"/>
        <v>0</v>
      </c>
      <c r="V233" s="34">
        <f t="shared" si="93"/>
        <v>3181.2</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412.23999999999995</v>
      </c>
      <c r="H240" s="31">
        <f t="shared" si="107"/>
        <v>412.49271232876708</v>
      </c>
      <c r="I240" s="31">
        <f t="shared" si="107"/>
        <v>252.24000000000004</v>
      </c>
      <c r="J240" s="31">
        <f t="shared" si="107"/>
        <v>412.23999999999995</v>
      </c>
      <c r="K240" s="31">
        <f t="shared" si="107"/>
        <v>411.98728767123282</v>
      </c>
      <c r="L240" s="31">
        <f t="shared" si="107"/>
        <v>160</v>
      </c>
      <c r="M240" s="31">
        <f t="shared" si="107"/>
        <v>320</v>
      </c>
      <c r="N240" s="31">
        <f t="shared" si="107"/>
        <v>320</v>
      </c>
      <c r="O240" s="31">
        <f t="shared" si="107"/>
        <v>160</v>
      </c>
      <c r="P240" s="31">
        <f t="shared" si="107"/>
        <v>320</v>
      </c>
      <c r="Q240" s="31">
        <f t="shared" si="107"/>
        <v>0</v>
      </c>
      <c r="R240" s="31">
        <f t="shared" si="107"/>
        <v>0</v>
      </c>
      <c r="S240" s="31">
        <f t="shared" si="107"/>
        <v>0</v>
      </c>
      <c r="T240" s="31">
        <f t="shared" si="107"/>
        <v>0</v>
      </c>
      <c r="U240" s="31">
        <f t="shared" si="107"/>
        <v>0</v>
      </c>
      <c r="V240" s="31">
        <f t="shared" si="93"/>
        <v>3181.2</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2917.6496543284488</v>
      </c>
      <c r="H243" s="34">
        <f t="shared" si="109"/>
        <v>6311.0164297116162</v>
      </c>
      <c r="I243" s="34">
        <f t="shared" si="109"/>
        <v>8152.4879092855044</v>
      </c>
      <c r="J243" s="34">
        <f t="shared" si="109"/>
        <v>7992.4879092855044</v>
      </c>
      <c r="K243" s="34">
        <f t="shared" si="109"/>
        <v>7992.7406216142717</v>
      </c>
      <c r="L243" s="34">
        <f t="shared" si="109"/>
        <v>8268.1466118555891</v>
      </c>
      <c r="M243" s="34">
        <f t="shared" si="109"/>
        <v>8084.7279092855042</v>
      </c>
      <c r="N243" s="34">
        <f t="shared" si="109"/>
        <v>8084.7279092855042</v>
      </c>
      <c r="O243" s="34">
        <f t="shared" si="109"/>
        <v>8244.7279092855042</v>
      </c>
      <c r="P243" s="34">
        <f t="shared" si="109"/>
        <v>8108.1466118555891</v>
      </c>
      <c r="Q243" s="34">
        <f t="shared" si="109"/>
        <v>0</v>
      </c>
      <c r="R243" s="34">
        <f t="shared" si="109"/>
        <v>0</v>
      </c>
      <c r="S243" s="34">
        <f t="shared" si="109"/>
        <v>0</v>
      </c>
      <c r="T243" s="34">
        <f t="shared" si="109"/>
        <v>0</v>
      </c>
      <c r="U243" s="34">
        <f t="shared" si="109"/>
        <v>0</v>
      </c>
      <c r="V243" s="34">
        <f>SUMPRODUCT($G$117:$U$117,G243:U243)</f>
        <v>74156.859475793026</v>
      </c>
    </row>
    <row r="244" spans="2:25">
      <c r="B244" s="30" t="s">
        <v>721</v>
      </c>
      <c r="C244" s="33"/>
      <c r="D244" s="33" t="s">
        <v>359</v>
      </c>
      <c r="E244" s="33" t="s">
        <v>722</v>
      </c>
      <c r="F244" s="33"/>
      <c r="G244" s="31">
        <f t="shared" ref="G244:U244" si="110">IF(G$117=1,MAX(0,G243),0)</f>
        <v>2917.6496543284488</v>
      </c>
      <c r="H244" s="31">
        <f t="shared" si="110"/>
        <v>6311.0164297116162</v>
      </c>
      <c r="I244" s="31">
        <f t="shared" si="110"/>
        <v>8152.4879092855044</v>
      </c>
      <c r="J244" s="31">
        <f t="shared" si="110"/>
        <v>7992.4879092855044</v>
      </c>
      <c r="K244" s="31">
        <f t="shared" si="110"/>
        <v>7992.7406216142717</v>
      </c>
      <c r="L244" s="31">
        <f t="shared" si="110"/>
        <v>8268.1466118555891</v>
      </c>
      <c r="M244" s="31">
        <f t="shared" si="110"/>
        <v>8084.7279092855042</v>
      </c>
      <c r="N244" s="31">
        <f t="shared" si="110"/>
        <v>8084.7279092855042</v>
      </c>
      <c r="O244" s="31">
        <f t="shared" si="110"/>
        <v>8244.7279092855042</v>
      </c>
      <c r="P244" s="31">
        <f t="shared" si="110"/>
        <v>8108.1466118555891</v>
      </c>
      <c r="Q244" s="31">
        <f t="shared" si="110"/>
        <v>0</v>
      </c>
      <c r="R244" s="31">
        <f t="shared" si="110"/>
        <v>0</v>
      </c>
      <c r="S244" s="31">
        <f t="shared" si="110"/>
        <v>0</v>
      </c>
      <c r="T244" s="31">
        <f t="shared" si="110"/>
        <v>0</v>
      </c>
      <c r="U244" s="31">
        <f t="shared" si="110"/>
        <v>0</v>
      </c>
      <c r="V244" s="31">
        <f>SUMPRODUCT($G$117:$U$117,G244:U244)</f>
        <v>74156.859475793026</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2917.6496543284488</v>
      </c>
      <c r="H246" s="34">
        <f>SUM($G244:H244)</f>
        <v>9228.6660840400655</v>
      </c>
      <c r="I246" s="34">
        <f>SUM($G244:I244)</f>
        <v>17381.15399332557</v>
      </c>
      <c r="J246" s="34">
        <f>SUM($G244:J244)</f>
        <v>25373.641902611074</v>
      </c>
      <c r="K246" s="34">
        <f>SUM($G244:K244)</f>
        <v>33366.382524225344</v>
      </c>
      <c r="L246" s="34">
        <f>SUM($G244:L244)</f>
        <v>41634.529136080935</v>
      </c>
      <c r="M246" s="34">
        <f>SUM($G244:M244)</f>
        <v>49719.257045366438</v>
      </c>
      <c r="N246" s="34">
        <f>SUM($G244:N244)</f>
        <v>57803.98495465194</v>
      </c>
      <c r="O246" s="34">
        <f>SUM($G244:O244)</f>
        <v>66048.712863937442</v>
      </c>
      <c r="P246" s="34">
        <f>SUM($G244:P244)</f>
        <v>74156.859475793026</v>
      </c>
      <c r="Q246" s="34">
        <f>SUM($G244:Q244)</f>
        <v>74156.859475793026</v>
      </c>
      <c r="R246" s="34">
        <f>SUM($G244:R244)</f>
        <v>74156.859475793026</v>
      </c>
      <c r="S246" s="34">
        <f>SUM($G244:S244)</f>
        <v>74156.859475793026</v>
      </c>
      <c r="T246" s="34">
        <f>SUM($G244:T244)</f>
        <v>74156.859475793026</v>
      </c>
      <c r="U246" s="34">
        <f>SUM($G244:U244)</f>
        <v>74156.859475793026</v>
      </c>
      <c r="V246" s="33"/>
    </row>
    <row r="248" spans="2:25" ht="20.100000000000001" customHeight="1">
      <c r="B248" s="20" t="s">
        <v>725</v>
      </c>
      <c r="C248" s="20"/>
      <c r="D248" s="20"/>
      <c r="E248" s="20"/>
      <c r="F248" s="20"/>
    </row>
    <row r="249" spans="2:25">
      <c r="B249" s="27" t="s">
        <v>726</v>
      </c>
      <c r="C249" s="33"/>
      <c r="D249" s="33" t="s">
        <v>359</v>
      </c>
      <c r="E249" s="33"/>
      <c r="F249" s="31">
        <f>SUMPRODUCT(($G$116:$U$116=1)*($G$244:$U$244))</f>
        <v>33366.382524225344</v>
      </c>
    </row>
    <row r="250" spans="2:25">
      <c r="B250" s="27" t="s">
        <v>727</v>
      </c>
      <c r="C250" s="33"/>
      <c r="D250" s="33" t="s">
        <v>359</v>
      </c>
      <c r="E250" s="33"/>
      <c r="F250" s="31">
        <f>SUMPRODUCT(($G$116:$U$116=2)*($G$244:$U$244))</f>
        <v>40790.476951567689</v>
      </c>
    </row>
    <row r="251" spans="2:25">
      <c r="B251" s="27" t="s">
        <v>728</v>
      </c>
      <c r="C251" s="33"/>
      <c r="D251" s="33" t="s">
        <v>359</v>
      </c>
      <c r="E251" s="33"/>
      <c r="F251" s="31">
        <f>SUMPRODUCT(($G$116:$U$116=3)*($G$244:$U$244))</f>
        <v>0</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46" priority="1">
      <formula>$G$75=""</formula>
    </cfRule>
  </conditionalFormatting>
  <conditionalFormatting sqref="B138:V150">
    <cfRule type="expression" dxfId="45" priority="2">
      <formula>$H$75=""</formula>
    </cfRule>
  </conditionalFormatting>
  <conditionalFormatting sqref="B152:V164">
    <cfRule type="expression" dxfId="44" priority="3">
      <formula>$I$75=""</formula>
    </cfRule>
  </conditionalFormatting>
  <conditionalFormatting sqref="B166:V178">
    <cfRule type="expression" dxfId="43" priority="4">
      <formula>$J$75=""</formula>
    </cfRule>
  </conditionalFormatting>
  <conditionalFormatting sqref="B180:V192">
    <cfRule type="expression" dxfId="42" priority="5">
      <formula>$K$75=""</formula>
    </cfRule>
  </conditionalFormatting>
  <conditionalFormatting sqref="F14">
    <cfRule type="expression" dxfId="41" priority="9">
      <formula>LEFT(F14,6)="Review"</formula>
    </cfRule>
  </conditionalFormatting>
  <conditionalFormatting sqref="G96:K96">
    <cfRule type="expression" dxfId="40" priority="8">
      <formula>AND(G96&lt;&gt;"",G96&lt;&gt;"OK")</formula>
    </cfRule>
  </conditionalFormatting>
  <conditionalFormatting sqref="G115:U246">
    <cfRule type="expression" dxfId="39" priority="6">
      <formula>G$117=0</formula>
    </cfRule>
  </conditionalFormatting>
  <conditionalFormatting sqref="G122:U122">
    <cfRule type="expression" dxfId="38" priority="7">
      <formula>LEFT(G122,7)="Carried"</formula>
    </cfRule>
  </conditionalFormatting>
  <dataValidations count="19">
    <dataValidation type="list" allowBlank="1" showErrorMessage="1" errorTitle="Invalid entry" error="Select a value from the list." sqref="F18" xr:uid="{00000000-0002-0000-0600-000000000000}">
      <formula1>L_Country</formula1>
    </dataValidation>
    <dataValidation type="list" allowBlank="1" showErrorMessage="1" errorTitle="Invalid entry" error="Select a value from the list." sqref="F20" xr:uid="{00000000-0002-0000-0600-000001000000}">
      <formula1>L_BOD</formula1>
    </dataValidation>
    <dataValidation type="list" allowBlank="1" showErrorMessage="1" errorTitle="Invalid entry" error="Select a value from the list." sqref="F43" xr:uid="{00000000-0002-0000-0600-000002000000}">
      <formula1>L_Ops</formula1>
    </dataValidation>
    <dataValidation type="list" allowBlank="1" showErrorMessage="1" errorTitle="Invalid entry" error="Select a value from the list." sqref="F45" xr:uid="{00000000-0002-0000-0600-000003000000}">
      <formula1>L_Elec</formula1>
    </dataValidation>
    <dataValidation type="list" allowBlank="1" showErrorMessage="1" errorTitle="Invalid entry" error="Select a value from the list." sqref="F48 F51" xr:uid="{00000000-0002-0000-0600-000004000000}">
      <formula1>L_Fuel</formula1>
    </dataValidation>
    <dataValidation type="list" allowBlank="1" showErrorMessage="1" errorTitle="Invalid entry" error="Select a value from the list." sqref="F50" xr:uid="{00000000-0002-0000-0600-000005000000}">
      <formula1>L_Transport</formula1>
    </dataValidation>
    <dataValidation type="date" showErrorMessage="1" error="Enter a date between 1 January 2026 and 31 December 2035." sqref="F42" xr:uid="{00000000-0002-0000-0600-000006000000}">
      <formula1>DATE(2026,1,1)</formula1>
      <formula2>DATE(2035,12,31)</formula2>
    </dataValidation>
    <dataValidation type="whole" allowBlank="1" showErrorMessage="1" error="Enter a value between 0 and 15." sqref="F44 G109:N109" xr:uid="{00000000-0002-0000-0600-000007000000}">
      <formula1>0</formula1>
      <formula2>15</formula2>
    </dataValidation>
    <dataValidation type="decimal" allowBlank="1" showErrorMessage="1" error="Enter a value between 0 and 1." sqref="G200:U201 G95:K95 E60:E63" xr:uid="{00000000-0002-0000-0600-000008000000}">
      <formula1>0</formula1>
      <formula2>1</formula2>
    </dataValidation>
    <dataValidation type="list" allowBlank="1" showErrorMessage="1" errorTitle="Invalid entry" error="Select a value from the list." sqref="F69" xr:uid="{00000000-0002-0000-0600-00000C000000}">
      <formula1>L_SDUAF</formula1>
    </dataValidation>
    <dataValidation type="list" allowBlank="1" showErrorMessage="1" errorTitle="Invalid entry" error="Select a value from the list." sqref="G75 H75 I75 J75 K75" xr:uid="{00000000-0002-0000-0600-00000D000000}">
      <formula1>L_Pathway</formula1>
    </dataValidation>
    <dataValidation type="list" allowBlank="1" showErrorMessage="1" errorTitle="Invalid entry" error="Select a value from the list." sqref="G77 H77 I77 J77 K77" xr:uid="{00000000-0002-0000-0600-00000E000000}">
      <formula1>L_Emptied</formula1>
    </dataValidation>
    <dataValidation type="list" allowBlank="1" showErrorMessage="1" errorTitle="Invalid entry" error="Select a value from the list." sqref="G78 H78 I78 J78 K78" xr:uid="{00000000-0002-0000-0600-00000F000000}">
      <formula1>L_Route</formula1>
    </dataValidation>
    <dataValidation type="list" allowBlank="1" showErrorMessage="1" errorTitle="Invalid entry" error="Select a value from the list." sqref="G81 H81 I81 J81 K81" xr:uid="{00000000-0002-0000-0600-000010000000}">
      <formula1>L_UAF</formula1>
    </dataValidation>
    <dataValidation type="list" allowBlank="1" showErrorMessage="1" errorTitle="Invalid entry" error="Select a value from the list." sqref="G86 G87 H86 H87 I86 I87 J86 J87 K86 K87" xr:uid="{00000000-0002-0000-0600-000011000000}">
      <formula1>L_Unit</formula1>
    </dataValidation>
    <dataValidation type="list" allowBlank="1" showErrorMessage="1" errorTitle="Invalid entry" error="Select a value from the list." sqref="G94 H94 I94 J94 K94" xr:uid="{00000000-0002-0000-0600-000012000000}">
      <formula1>L_YesNo</formula1>
    </dataValidation>
    <dataValidation type="list" allowBlank="1" showErrorMessage="1" errorTitle="Invalid entry" error="Select a value from the list." sqref="G101 H101 I101 J101 K101 L101 M101 N101" xr:uid="{00000000-0002-0000-0600-000018000000}">
      <formula1>L_Tier</formula1>
    </dataValidation>
    <dataValidation type="list" allowBlank="1" showErrorMessage="1" errorTitle="Invalid entry" error="Select a value from the list." sqref="G102 H102 I102 J102 K102 L102 M102 N102" xr:uid="{00000000-0002-0000-0600-000019000000}">
      <formula1>L_Material</formula1>
    </dataValidation>
    <dataValidation type="whole" allowBlank="1" showErrorMessage="1" error="Enter a value between 1 and 15." sqref="G108:N108" xr:uid="{00000000-0002-0000-0600-00001A000000}">
      <formula1>1</formula1>
      <formula2>15</formula2>
    </dataValidation>
  </dataValidations>
  <pageMargins left="0.75" right="0.75" top="1" bottom="1" header="0.5" footer="0.5"/>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751</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752</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58914.878078257025</v>
      </c>
    </row>
    <row r="7" spans="2:25">
      <c r="B7" s="30" t="s">
        <v>360</v>
      </c>
      <c r="C7" s="33"/>
      <c r="D7" s="33" t="s">
        <v>359</v>
      </c>
      <c r="E7" s="33"/>
      <c r="F7" s="31">
        <f>SUMPRODUCT(($G$114:$U$114&lt;=10)*($G$244:$U$244))</f>
        <v>37112.215455646685</v>
      </c>
    </row>
    <row r="8" spans="2:25">
      <c r="B8" s="27" t="s">
        <v>361</v>
      </c>
      <c r="C8" s="33"/>
      <c r="D8" s="33" t="s">
        <v>359</v>
      </c>
      <c r="E8" s="33"/>
      <c r="F8" s="34">
        <f>IF(SUM($G$117:$U$117)&gt;0,V244/SUM($G$117:$U$117),0)</f>
        <v>3927.6585385504682</v>
      </c>
    </row>
    <row r="9" spans="2:25">
      <c r="B9" s="27" t="s">
        <v>362</v>
      </c>
      <c r="C9" s="33"/>
      <c r="D9" s="33" t="s">
        <v>359</v>
      </c>
      <c r="E9" s="33"/>
      <c r="F9" s="34">
        <f>V202</f>
        <v>94713.944089927638</v>
      </c>
    </row>
    <row r="10" spans="2:25">
      <c r="B10" s="27" t="s">
        <v>363</v>
      </c>
      <c r="C10" s="33"/>
      <c r="D10" s="33" t="s">
        <v>359</v>
      </c>
      <c r="E10" s="33"/>
      <c r="F10" s="34">
        <f>V222</f>
        <v>12543.4053130706</v>
      </c>
    </row>
    <row r="11" spans="2:25">
      <c r="B11" s="27" t="s">
        <v>364</v>
      </c>
      <c r="C11" s="33"/>
      <c r="D11" s="33" t="s">
        <v>359</v>
      </c>
      <c r="E11" s="33"/>
      <c r="F11" s="34">
        <f>V240</f>
        <v>23255.660698600001</v>
      </c>
    </row>
    <row r="12" spans="2:25">
      <c r="B12" s="27" t="s">
        <v>365</v>
      </c>
      <c r="C12" s="33"/>
      <c r="D12" s="33" t="s">
        <v>359</v>
      </c>
      <c r="E12" s="33"/>
      <c r="F12" s="34">
        <f>V203</f>
        <v>2214.4748376643161</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753</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3.4000000000000002E-2</v>
      </c>
      <c r="G19" s="94" t="str">
        <f>"Table 6.4 entry: "&amp;INDEX(Defaults!$C$32:$C$64,MATCH($F$18,Defaults!$B$32:$B$64,0))</f>
        <v>Table 6.4 entry: India (country value)</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3.4000000000000002E-2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74.569999999999993</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4.3548879999999999</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2.0400000000000001E-2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2.0400000000000001E-2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15</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c r="B45" s="27" t="s">
        <v>441</v>
      </c>
      <c r="C45" s="33"/>
      <c r="D45" s="33"/>
      <c r="E45" s="33" t="s">
        <v>442</v>
      </c>
      <c r="F45" s="51" t="s">
        <v>754</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v>0.72</v>
      </c>
      <c r="G46" s="94" t="s">
        <v>755</v>
      </c>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0.72</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450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2.7368197999999997</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v>5.0000000000000001E-3</v>
      </c>
      <c r="G53" s="94" t="s">
        <v>756</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732</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v>
      </c>
      <c r="F60" s="45">
        <f>C60*E60</f>
        <v>0</v>
      </c>
      <c r="G60" s="45">
        <f>(C60-D60)*E60</f>
        <v>0</v>
      </c>
    </row>
    <row r="61" spans="2:25">
      <c r="B61" s="27" t="s">
        <v>482</v>
      </c>
      <c r="C61" s="36">
        <f>INDEX(Defaults!$C$69:$C$79,MATCH(B61,Defaults!$B$69:$B$79,0))</f>
        <v>0.7</v>
      </c>
      <c r="D61" s="36">
        <f>IF(ISNUMBER(INDEX(Defaults!$D$69:$D$79,MATCH(B61,Defaults!$B$69:$B$79,0))),INDEX(Defaults!$D$69:$D$79,MATCH(B61,Defaults!$B$69:$B$79,0)),C61)</f>
        <v>0.7</v>
      </c>
      <c r="E61" s="53">
        <v>0</v>
      </c>
      <c r="F61" s="45">
        <f>C61*E61</f>
        <v>0</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v>
      </c>
      <c r="F62" s="45">
        <f>C62*E62</f>
        <v>0</v>
      </c>
      <c r="G62" s="45">
        <f>(C62-D62)*E62</f>
        <v>0</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0</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733</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0.56999999999999995</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757</v>
      </c>
      <c r="H74" s="51" t="s">
        <v>758</v>
      </c>
      <c r="I74" s="51"/>
      <c r="J74" s="51"/>
      <c r="K74" s="51"/>
    </row>
    <row r="75" spans="2:25" ht="44.1" customHeight="1">
      <c r="B75" s="27" t="s">
        <v>508</v>
      </c>
      <c r="C75" s="33" t="s">
        <v>509</v>
      </c>
      <c r="D75" s="33"/>
      <c r="E75" s="33" t="s">
        <v>510</v>
      </c>
      <c r="F75" s="33"/>
      <c r="G75" s="51" t="s">
        <v>483</v>
      </c>
      <c r="H75" s="51" t="s">
        <v>483</v>
      </c>
      <c r="I75" s="51"/>
      <c r="J75" s="51"/>
      <c r="K75" s="51"/>
    </row>
    <row r="76" spans="2:25">
      <c r="B76" s="27" t="s">
        <v>513</v>
      </c>
      <c r="C76" s="33"/>
      <c r="D76" s="33" t="s">
        <v>514</v>
      </c>
      <c r="E76" s="33" t="s">
        <v>515</v>
      </c>
      <c r="F76" s="33"/>
      <c r="G76" s="60"/>
      <c r="H76" s="60"/>
      <c r="I76" s="60"/>
      <c r="J76" s="60"/>
      <c r="K76" s="60"/>
    </row>
    <row r="77" spans="2:25" ht="44.1" customHeight="1">
      <c r="B77" s="27" t="s">
        <v>516</v>
      </c>
      <c r="C77" s="33"/>
      <c r="D77" s="33"/>
      <c r="E77" s="33" t="s">
        <v>517</v>
      </c>
      <c r="F77" s="33"/>
      <c r="G77" s="51" t="s">
        <v>759</v>
      </c>
      <c r="H77" s="51" t="s">
        <v>759</v>
      </c>
      <c r="I77" s="51"/>
      <c r="J77" s="51"/>
      <c r="K77" s="51"/>
    </row>
    <row r="78" spans="2:25" ht="44.1" customHeight="1">
      <c r="B78" s="27" t="s">
        <v>519</v>
      </c>
      <c r="C78" s="33"/>
      <c r="D78" s="33"/>
      <c r="E78" s="33" t="s">
        <v>520</v>
      </c>
      <c r="F78" s="33"/>
      <c r="G78" s="51" t="s">
        <v>521</v>
      </c>
      <c r="H78" s="51" t="s">
        <v>760</v>
      </c>
      <c r="I78" s="51"/>
      <c r="J78" s="51"/>
      <c r="K78" s="51"/>
    </row>
    <row r="79" spans="2:25">
      <c r="B79" s="27" t="s">
        <v>522</v>
      </c>
      <c r="C79" s="33" t="s">
        <v>490</v>
      </c>
      <c r="D79" s="33" t="s">
        <v>398</v>
      </c>
      <c r="E79" s="33" t="s">
        <v>125</v>
      </c>
      <c r="F79" s="33"/>
      <c r="G79" s="40"/>
      <c r="H79" s="40"/>
      <c r="I79" s="40"/>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0.55000000000000004</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0.11</v>
      </c>
      <c r="I80" s="61" t="str">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
      </c>
      <c r="J80" s="61" t="str">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
      </c>
      <c r="K80" s="61" t="str">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
      </c>
    </row>
    <row r="81" spans="2:11">
      <c r="B81" s="27" t="s">
        <v>525</v>
      </c>
      <c r="C81" s="33"/>
      <c r="D81" s="33"/>
      <c r="E81" s="33" t="s">
        <v>526</v>
      </c>
      <c r="F81" s="33"/>
      <c r="G81" s="51" t="s">
        <v>527</v>
      </c>
      <c r="H81" s="51" t="s">
        <v>527</v>
      </c>
      <c r="I81" s="51"/>
      <c r="J81" s="51"/>
      <c r="K81" s="51"/>
    </row>
    <row r="82" spans="2:11" ht="22.5">
      <c r="B82" s="27" t="s">
        <v>528</v>
      </c>
      <c r="C82" s="33" t="s">
        <v>493</v>
      </c>
      <c r="D82" s="33" t="s">
        <v>398</v>
      </c>
      <c r="E82" s="33" t="s">
        <v>529</v>
      </c>
      <c r="F82" s="33"/>
      <c r="G82" s="53"/>
      <c r="H82" s="53"/>
      <c r="I82" s="53"/>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0.67</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0.31</v>
      </c>
      <c r="I83" s="61" t="str">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
      </c>
      <c r="J83" s="61" t="str">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
      </c>
      <c r="K83" s="61" t="str">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761</v>
      </c>
      <c r="H86" s="51" t="s">
        <v>761</v>
      </c>
      <c r="I86" s="51"/>
      <c r="J86" s="51"/>
      <c r="K86" s="51"/>
    </row>
    <row r="87" spans="2:11" ht="44.1" customHeight="1">
      <c r="B87" s="27" t="s">
        <v>541</v>
      </c>
      <c r="C87" s="33" t="s">
        <v>538</v>
      </c>
      <c r="D87" s="33"/>
      <c r="E87" s="33" t="s">
        <v>539</v>
      </c>
      <c r="F87" s="33"/>
      <c r="G87" s="51" t="s">
        <v>460</v>
      </c>
      <c r="H87" s="51" t="s">
        <v>460</v>
      </c>
      <c r="I87" s="51"/>
      <c r="J87" s="51"/>
      <c r="K87" s="51"/>
    </row>
    <row r="88" spans="2:11">
      <c r="B88" s="27" t="s">
        <v>542</v>
      </c>
      <c r="C88" s="33"/>
      <c r="D88" s="33"/>
      <c r="E88" s="33"/>
      <c r="F88" s="33"/>
      <c r="G88" s="44" t="str">
        <f>IF(G86="","NONE",INDEX(Defaults!$C$91:$C$101,MATCH(G86,Defaults!$B$91:$B$101,0)))</f>
        <v>AD</v>
      </c>
      <c r="H88" s="44" t="str">
        <f>IF(H86="","NONE",INDEX(Defaults!$C$91:$C$101,MATCH(H86,Defaults!$B$91:$B$101,0)))</f>
        <v>AD</v>
      </c>
      <c r="I88" s="44" t="str">
        <f>IF(I86="","NONE",INDEX(Defaults!$C$91:$C$101,MATCH(I86,Defaults!$B$91:$B$101,0)))</f>
        <v>NONE</v>
      </c>
      <c r="J88" s="44" t="str">
        <f>IF(J86="","NONE",INDEX(Defaults!$C$91:$C$101,MATCH(J86,Defaults!$B$91:$B$101,0)))</f>
        <v>NONE</v>
      </c>
      <c r="K88" s="44" t="str">
        <f>IF(K86="","NONE",INDEX(Defaults!$C$91:$C$101,MATCH(K86,Defaults!$B$91:$B$101,0)))</f>
        <v>NONE</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NONE</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v>
      </c>
      <c r="J90" s="41">
        <f>IF(J86="",0,INDEX(Defaults!$D$91:$D$101,MATCH(J86,Defaults!$B$91:$B$101,0)))</f>
        <v>0</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0</v>
      </c>
      <c r="J92" s="45">
        <f>IF(J86="",0,INDEX(Defaults!$F$91:$F$101,MATCH(J86,Defaults!$B$91:$B$101,0)))</f>
        <v>0</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762</v>
      </c>
      <c r="H94" s="51" t="s">
        <v>762</v>
      </c>
      <c r="I94" s="51"/>
      <c r="J94" s="51"/>
      <c r="K94" s="51"/>
    </row>
    <row r="95" spans="2:11" ht="44.1" customHeight="1">
      <c r="B95" s="27" t="s">
        <v>553</v>
      </c>
      <c r="C95" s="33"/>
      <c r="D95" s="33" t="s">
        <v>398</v>
      </c>
      <c r="E95" s="33" t="s">
        <v>466</v>
      </c>
      <c r="F95" s="33"/>
      <c r="G95" s="53">
        <v>0.2</v>
      </c>
      <c r="H95" s="53">
        <v>0.2</v>
      </c>
      <c r="I95" s="53"/>
      <c r="J95" s="53"/>
      <c r="K95" s="53"/>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763</v>
      </c>
      <c r="H100" s="51" t="s">
        <v>764</v>
      </c>
      <c r="I100" s="51" t="s">
        <v>765</v>
      </c>
      <c r="J100" s="51" t="s">
        <v>766</v>
      </c>
      <c r="K100" s="51" t="s">
        <v>767</v>
      </c>
      <c r="L100" s="51" t="s">
        <v>768</v>
      </c>
      <c r="M100" s="51"/>
      <c r="N100" s="51"/>
    </row>
    <row r="101" spans="2:25">
      <c r="B101" s="27" t="s">
        <v>572</v>
      </c>
      <c r="C101" s="33"/>
      <c r="D101" s="33"/>
      <c r="E101" s="33" t="s">
        <v>573</v>
      </c>
      <c r="F101" s="33"/>
      <c r="G101" s="51" t="s">
        <v>576</v>
      </c>
      <c r="H101" s="51" t="s">
        <v>576</v>
      </c>
      <c r="I101" s="51" t="s">
        <v>576</v>
      </c>
      <c r="J101" s="51" t="s">
        <v>576</v>
      </c>
      <c r="K101" s="51" t="s">
        <v>576</v>
      </c>
      <c r="L101" s="51" t="s">
        <v>576</v>
      </c>
      <c r="M101" s="51"/>
      <c r="N101" s="51"/>
    </row>
    <row r="102" spans="2:25" ht="30" customHeight="1">
      <c r="B102" s="27" t="s">
        <v>577</v>
      </c>
      <c r="C102" s="33" t="s">
        <v>578</v>
      </c>
      <c r="D102" s="33"/>
      <c r="E102" s="33" t="s">
        <v>579</v>
      </c>
      <c r="F102" s="33"/>
      <c r="G102" s="51" t="s">
        <v>583</v>
      </c>
      <c r="H102" s="51" t="s">
        <v>582</v>
      </c>
      <c r="I102" s="51" t="s">
        <v>582</v>
      </c>
      <c r="J102" s="51" t="s">
        <v>582</v>
      </c>
      <c r="K102" s="51" t="s">
        <v>582</v>
      </c>
      <c r="L102" s="51" t="s">
        <v>769</v>
      </c>
      <c r="M102" s="51"/>
      <c r="N102" s="51"/>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0.18</v>
      </c>
      <c r="H104" s="41">
        <f>IF(H102="","",IF(ISNUMBER(H103),H103,INDEX(Defaults!$D$112:$D$126,MATCH(H102,Defaults!$B$112:$B$126,0))))</f>
        <v>1.6</v>
      </c>
      <c r="I104" s="41">
        <f>IF(I102="","",IF(ISNUMBER(I103),I103,INDEX(Defaults!$D$112:$D$126,MATCH(I102,Defaults!$B$112:$B$126,0))))</f>
        <v>1.6</v>
      </c>
      <c r="J104" s="41">
        <f>IF(J102="","",IF(ISNUMBER(J103),J103,INDEX(Defaults!$D$112:$D$126,MATCH(J102,Defaults!$B$112:$B$126,0))))</f>
        <v>1.6</v>
      </c>
      <c r="K104" s="41">
        <f>IF(K102="","",IF(ISNUMBER(K103),K103,INDEX(Defaults!$D$112:$D$126,MATCH(K102,Defaults!$B$112:$B$126,0))))</f>
        <v>1.6</v>
      </c>
      <c r="L104" s="41">
        <f>IF(L102="","",IF(ISNUMBER(L103),L103,INDEX(Defaults!$D$112:$D$126,MATCH(L102,Defaults!$B$112:$B$126,0))))</f>
        <v>2.5</v>
      </c>
      <c r="M104" s="41" t="str">
        <f>IF(M102="","",IF(ISNUMBER(M103),M103,INDEX(Defaults!$D$112:$D$126,MATCH(M102,Defaults!$B$112:$B$126,0))))</f>
        <v/>
      </c>
      <c r="N104" s="41" t="str">
        <f>IF(N102="","",IF(ISNUMBER(N103),N103,INDEX(Defaults!$D$112:$D$126,MATCH(N102,Defaults!$B$112:$B$126,0))))</f>
        <v/>
      </c>
    </row>
    <row r="105" spans="2:25">
      <c r="B105" s="27" t="s">
        <v>589</v>
      </c>
      <c r="C105" s="33" t="s">
        <v>590</v>
      </c>
      <c r="D105" s="33" t="s">
        <v>591</v>
      </c>
      <c r="E105" s="33" t="s">
        <v>260</v>
      </c>
      <c r="F105" s="33"/>
      <c r="G105" s="63">
        <v>3000000</v>
      </c>
      <c r="H105" s="63">
        <v>200000</v>
      </c>
      <c r="I105" s="63">
        <v>9000</v>
      </c>
      <c r="J105" s="63">
        <v>9000</v>
      </c>
      <c r="K105" s="63">
        <v>9000</v>
      </c>
      <c r="L105" s="63">
        <v>20000</v>
      </c>
      <c r="M105" s="63"/>
      <c r="N105" s="63"/>
    </row>
    <row r="106" spans="2:25">
      <c r="B106" s="27" t="s">
        <v>592</v>
      </c>
      <c r="C106" s="33"/>
      <c r="D106" s="33" t="s">
        <v>593</v>
      </c>
      <c r="E106" s="33"/>
      <c r="F106" s="33"/>
      <c r="G106" s="63">
        <v>1</v>
      </c>
      <c r="H106" s="63">
        <v>1</v>
      </c>
      <c r="I106" s="63">
        <v>10</v>
      </c>
      <c r="J106" s="63">
        <v>5</v>
      </c>
      <c r="K106" s="63">
        <v>15</v>
      </c>
      <c r="L106" s="63">
        <v>1</v>
      </c>
      <c r="M106" s="63"/>
      <c r="N106" s="63"/>
    </row>
    <row r="107" spans="2:25">
      <c r="B107" s="27" t="s">
        <v>594</v>
      </c>
      <c r="C107" s="33"/>
      <c r="D107" s="33" t="s">
        <v>359</v>
      </c>
      <c r="E107" s="33" t="s">
        <v>174</v>
      </c>
      <c r="F107" s="33"/>
      <c r="G107" s="34">
        <f t="shared" ref="G107:N107" si="0">IF(OR(G102="",G101=""),0,N(G105)*N(G106)*N(G104)/1000)</f>
        <v>540</v>
      </c>
      <c r="H107" s="34">
        <f t="shared" si="0"/>
        <v>320</v>
      </c>
      <c r="I107" s="34">
        <f t="shared" si="0"/>
        <v>144</v>
      </c>
      <c r="J107" s="34">
        <f t="shared" si="0"/>
        <v>72</v>
      </c>
      <c r="K107" s="34">
        <f t="shared" si="0"/>
        <v>216</v>
      </c>
      <c r="L107" s="34">
        <f t="shared" si="0"/>
        <v>50</v>
      </c>
      <c r="M107" s="34">
        <f t="shared" si="0"/>
        <v>0</v>
      </c>
      <c r="N107" s="34">
        <f t="shared" si="0"/>
        <v>0</v>
      </c>
    </row>
    <row r="108" spans="2:25">
      <c r="B108" s="27" t="s">
        <v>595</v>
      </c>
      <c r="C108" s="33"/>
      <c r="D108" s="33" t="s">
        <v>439</v>
      </c>
      <c r="E108" s="33" t="s">
        <v>174</v>
      </c>
      <c r="F108" s="33"/>
      <c r="G108" s="60">
        <v>1</v>
      </c>
      <c r="H108" s="60">
        <v>1</v>
      </c>
      <c r="I108" s="60">
        <v>1</v>
      </c>
      <c r="J108" s="60">
        <v>3</v>
      </c>
      <c r="K108" s="60">
        <v>9</v>
      </c>
      <c r="L108" s="60">
        <v>1</v>
      </c>
      <c r="M108" s="60"/>
      <c r="N108" s="60"/>
    </row>
    <row r="109" spans="2:25">
      <c r="B109" s="27" t="s">
        <v>596</v>
      </c>
      <c r="C109" s="33"/>
      <c r="D109" s="33" t="s">
        <v>436</v>
      </c>
      <c r="E109" s="33" t="s">
        <v>597</v>
      </c>
      <c r="F109" s="33"/>
      <c r="G109" s="60"/>
      <c r="H109" s="60"/>
      <c r="I109" s="60"/>
      <c r="J109" s="60"/>
      <c r="K109" s="60"/>
      <c r="L109" s="60"/>
      <c r="M109" s="60"/>
      <c r="N109" s="60"/>
    </row>
    <row r="110" spans="2:25">
      <c r="B110" s="27" t="s">
        <v>598</v>
      </c>
      <c r="C110" s="33" t="s">
        <v>599</v>
      </c>
      <c r="D110" s="33" t="s">
        <v>436</v>
      </c>
      <c r="E110" s="33" t="s">
        <v>573</v>
      </c>
      <c r="F110" s="33"/>
      <c r="G110" s="48">
        <f t="shared" ref="G110:N110" si="1">IF(G101="","",IF(G101="Tier 1",1,5))</f>
        <v>5</v>
      </c>
      <c r="H110" s="48">
        <f t="shared" si="1"/>
        <v>5</v>
      </c>
      <c r="I110" s="48">
        <f t="shared" si="1"/>
        <v>5</v>
      </c>
      <c r="J110" s="48">
        <f t="shared" si="1"/>
        <v>5</v>
      </c>
      <c r="K110" s="48">
        <f t="shared" si="1"/>
        <v>5</v>
      </c>
      <c r="L110" s="48">
        <f t="shared" si="1"/>
        <v>5</v>
      </c>
      <c r="M110" s="48" t="str">
        <f t="shared" si="1"/>
        <v/>
      </c>
      <c r="N110" s="48" t="str">
        <f t="shared" si="1"/>
        <v/>
      </c>
    </row>
    <row r="111" spans="2:25">
      <c r="B111" s="27" t="s">
        <v>600</v>
      </c>
      <c r="C111" s="33"/>
      <c r="D111" s="33" t="s">
        <v>432</v>
      </c>
      <c r="E111" s="33" t="s">
        <v>174</v>
      </c>
      <c r="F111" s="33"/>
      <c r="G111" s="64">
        <f t="shared" ref="G111:N111" si="2">IF(G101="","",IF(N(G108)&lt;=1,$F$42,DATE(YEAR($F$42)+G108-1,1,1)))</f>
        <v>46388</v>
      </c>
      <c r="H111" s="64">
        <f t="shared" si="2"/>
        <v>46388</v>
      </c>
      <c r="I111" s="64">
        <f t="shared" si="2"/>
        <v>46388</v>
      </c>
      <c r="J111" s="64">
        <f t="shared" si="2"/>
        <v>47119</v>
      </c>
      <c r="K111" s="64">
        <f t="shared" si="2"/>
        <v>49310</v>
      </c>
      <c r="L111" s="64">
        <f t="shared" si="2"/>
        <v>46388</v>
      </c>
      <c r="M111" s="64" t="str">
        <f t="shared" si="2"/>
        <v/>
      </c>
      <c r="N111" s="64" t="str">
        <f t="shared" si="2"/>
        <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1</v>
      </c>
      <c r="R117" s="48">
        <f t="shared" si="6"/>
        <v>1</v>
      </c>
      <c r="S117" s="48">
        <f t="shared" si="6"/>
        <v>1</v>
      </c>
      <c r="T117" s="48">
        <f t="shared" si="6"/>
        <v>1</v>
      </c>
      <c r="U117" s="48">
        <f t="shared" si="6"/>
        <v>1</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365</v>
      </c>
      <c r="P120" s="67">
        <f t="shared" si="9"/>
        <v>366</v>
      </c>
      <c r="Q120" s="67">
        <f t="shared" si="9"/>
        <v>365</v>
      </c>
      <c r="R120" s="67">
        <f t="shared" si="9"/>
        <v>365</v>
      </c>
      <c r="S120" s="67">
        <f t="shared" si="9"/>
        <v>365</v>
      </c>
      <c r="T120" s="67">
        <f t="shared" si="9"/>
        <v>366</v>
      </c>
      <c r="U120" s="67">
        <f t="shared" si="9"/>
        <v>365</v>
      </c>
      <c r="V120" s="67">
        <f>SUMPRODUCT($G$117:$U$117,G120:U120)</f>
        <v>5479</v>
      </c>
    </row>
    <row r="121" spans="2:25">
      <c r="B121" s="27" t="s">
        <v>612</v>
      </c>
      <c r="C121" s="33" t="s">
        <v>233</v>
      </c>
      <c r="D121" s="33" t="s">
        <v>398</v>
      </c>
      <c r="E121" s="33" t="s">
        <v>232</v>
      </c>
      <c r="F121" s="33"/>
      <c r="G121" s="58">
        <f t="shared" ref="G121:U121" si="10">IF(G$117=0,0,IF(G$115&lt;=2030,$F$39,IF(G$115&lt;=2035,IF(ISNUMBER($F$40),$F$40,$F$39),IF(ISNUMBER($F$41),$F$41,IF(ISNUMBER($F$40),$F$40,$F$39)))))</f>
        <v>2.0400000000000001E-2</v>
      </c>
      <c r="H121" s="58">
        <f t="shared" si="10"/>
        <v>2.0400000000000001E-2</v>
      </c>
      <c r="I121" s="58">
        <f t="shared" si="10"/>
        <v>2.0400000000000001E-2</v>
      </c>
      <c r="J121" s="58">
        <f t="shared" si="10"/>
        <v>2.0400000000000001E-2</v>
      </c>
      <c r="K121" s="58">
        <f t="shared" si="10"/>
        <v>2.0400000000000001E-2</v>
      </c>
      <c r="L121" s="58">
        <f t="shared" si="10"/>
        <v>2.0400000000000001E-2</v>
      </c>
      <c r="M121" s="58">
        <f t="shared" si="10"/>
        <v>2.0400000000000001E-2</v>
      </c>
      <c r="N121" s="58">
        <f t="shared" si="10"/>
        <v>2.0400000000000001E-2</v>
      </c>
      <c r="O121" s="58">
        <f t="shared" si="10"/>
        <v>2.0400000000000001E-2</v>
      </c>
      <c r="P121" s="58">
        <f t="shared" si="10"/>
        <v>2.0400000000000001E-2</v>
      </c>
      <c r="Q121" s="58">
        <f t="shared" si="10"/>
        <v>2.0400000000000001E-2</v>
      </c>
      <c r="R121" s="58">
        <f t="shared" si="10"/>
        <v>2.0400000000000001E-2</v>
      </c>
      <c r="S121" s="58">
        <f t="shared" si="10"/>
        <v>2.0400000000000001E-2</v>
      </c>
      <c r="T121" s="58">
        <f t="shared" si="10"/>
        <v>2.0400000000000001E-2</v>
      </c>
      <c r="U121" s="58">
        <f t="shared" si="10"/>
        <v>2.0400000000000001E-2</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Carried forward: replace when published</v>
      </c>
      <c r="R122" s="44" t="str">
        <f t="shared" si="11"/>
        <v>Carried forward: replace when published</v>
      </c>
      <c r="S122" s="44" t="str">
        <f t="shared" si="11"/>
        <v>Carried forward: replace when published</v>
      </c>
      <c r="T122" s="44" t="str">
        <f t="shared" si="11"/>
        <v>Carried forward: replace when published</v>
      </c>
      <c r="U122" s="44" t="str">
        <f t="shared" si="11"/>
        <v>Carried forward: replace when published</v>
      </c>
      <c r="V122" s="33"/>
    </row>
    <row r="123" spans="2:25">
      <c r="B123" s="25" t="str">
        <f>"Stratum 1: "&amp;IF(G$74="","not used",G$74)</f>
        <v>Stratum 1: Septic tanks, emptied by the activity</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80000</v>
      </c>
      <c r="H124" s="63">
        <v>120000</v>
      </c>
      <c r="I124" s="63">
        <v>160000</v>
      </c>
      <c r="J124" s="63">
        <v>200000</v>
      </c>
      <c r="K124" s="63">
        <v>200000</v>
      </c>
      <c r="L124" s="63">
        <v>200000</v>
      </c>
      <c r="M124" s="63">
        <v>200000</v>
      </c>
      <c r="N124" s="63">
        <v>200000</v>
      </c>
      <c r="O124" s="63">
        <v>200000</v>
      </c>
      <c r="P124" s="63">
        <v>200000</v>
      </c>
      <c r="Q124" s="63">
        <v>200000</v>
      </c>
      <c r="R124" s="63">
        <v>200000</v>
      </c>
      <c r="S124" s="63">
        <v>200000</v>
      </c>
      <c r="T124" s="63">
        <v>200000</v>
      </c>
      <c r="U124" s="63">
        <v>200000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0.5</v>
      </c>
      <c r="H127" s="45">
        <f t="shared" si="13"/>
        <v>0.5</v>
      </c>
      <c r="I127" s="45">
        <f t="shared" si="13"/>
        <v>0.5</v>
      </c>
      <c r="J127" s="45">
        <f t="shared" si="13"/>
        <v>0.5</v>
      </c>
      <c r="K127" s="45">
        <f t="shared" si="13"/>
        <v>0.5</v>
      </c>
      <c r="L127" s="45">
        <f t="shared" si="13"/>
        <v>0.5</v>
      </c>
      <c r="M127" s="45">
        <f t="shared" si="13"/>
        <v>0.5</v>
      </c>
      <c r="N127" s="45">
        <f t="shared" si="13"/>
        <v>0.5</v>
      </c>
      <c r="O127" s="45">
        <f t="shared" si="13"/>
        <v>0.5</v>
      </c>
      <c r="P127" s="45">
        <f t="shared" si="13"/>
        <v>0.5</v>
      </c>
      <c r="Q127" s="45">
        <f t="shared" si="13"/>
        <v>0.5</v>
      </c>
      <c r="R127" s="45">
        <f t="shared" si="13"/>
        <v>0.5</v>
      </c>
      <c r="S127" s="45">
        <f t="shared" si="13"/>
        <v>0.5</v>
      </c>
      <c r="T127" s="45">
        <f t="shared" si="13"/>
        <v>0.5</v>
      </c>
      <c r="U127" s="45">
        <f t="shared" si="13"/>
        <v>0.5</v>
      </c>
      <c r="V127" s="33"/>
    </row>
    <row r="128" spans="2:25">
      <c r="B128" s="27" t="s">
        <v>626</v>
      </c>
      <c r="C128" s="33" t="s">
        <v>627</v>
      </c>
      <c r="D128" s="33" t="s">
        <v>359</v>
      </c>
      <c r="E128" s="33" t="s">
        <v>107</v>
      </c>
      <c r="F128" s="33"/>
      <c r="G128" s="34">
        <f t="shared" ref="G128:U128" si="14">IF($G$75="",0,N(G124)*G$120*$F$22*$F$25*$G$80*G127*$F$30/1000)</f>
        <v>4586.7359999999999</v>
      </c>
      <c r="H128" s="34">
        <f t="shared" si="14"/>
        <v>6898.9536000000007</v>
      </c>
      <c r="I128" s="34">
        <f t="shared" si="14"/>
        <v>9173.4719999999998</v>
      </c>
      <c r="J128" s="34">
        <f t="shared" si="14"/>
        <v>11466.840000000002</v>
      </c>
      <c r="K128" s="34">
        <f t="shared" si="14"/>
        <v>11466.840000000002</v>
      </c>
      <c r="L128" s="34">
        <f t="shared" si="14"/>
        <v>11498.256000000001</v>
      </c>
      <c r="M128" s="34">
        <f t="shared" si="14"/>
        <v>11466.840000000002</v>
      </c>
      <c r="N128" s="34">
        <f t="shared" si="14"/>
        <v>11466.840000000002</v>
      </c>
      <c r="O128" s="34">
        <f t="shared" si="14"/>
        <v>11466.840000000002</v>
      </c>
      <c r="P128" s="34">
        <f t="shared" si="14"/>
        <v>11498.256000000001</v>
      </c>
      <c r="Q128" s="34">
        <f t="shared" si="14"/>
        <v>11466.840000000002</v>
      </c>
      <c r="R128" s="34">
        <f t="shared" si="14"/>
        <v>11466.840000000002</v>
      </c>
      <c r="S128" s="34">
        <f t="shared" si="14"/>
        <v>11466.840000000002</v>
      </c>
      <c r="T128" s="34">
        <f t="shared" si="14"/>
        <v>11498.256000000001</v>
      </c>
      <c r="U128" s="34">
        <f t="shared" si="14"/>
        <v>11466.840000000002</v>
      </c>
      <c r="V128" s="34">
        <f t="shared" ref="V128:V136" si="15">SUMPRODUCT($G$117:$U$117,G128:U128)</f>
        <v>158355.48959999997</v>
      </c>
    </row>
    <row r="129" spans="2:25">
      <c r="B129" s="27" t="s">
        <v>628</v>
      </c>
      <c r="C129" s="33" t="s">
        <v>629</v>
      </c>
      <c r="D129" s="33" t="s">
        <v>359</v>
      </c>
      <c r="E129" s="33" t="s">
        <v>129</v>
      </c>
      <c r="F129" s="33"/>
      <c r="G129" s="34">
        <f t="shared" ref="G129:U129" si="16">IF($G$75="",0,G128*$G$83)</f>
        <v>3073.11312</v>
      </c>
      <c r="H129" s="34">
        <f t="shared" si="16"/>
        <v>4622.2989120000011</v>
      </c>
      <c r="I129" s="34">
        <f t="shared" si="16"/>
        <v>6146.22624</v>
      </c>
      <c r="J129" s="34">
        <f t="shared" si="16"/>
        <v>7682.7828000000018</v>
      </c>
      <c r="K129" s="34">
        <f t="shared" si="16"/>
        <v>7682.7828000000018</v>
      </c>
      <c r="L129" s="34">
        <f t="shared" si="16"/>
        <v>7703.8315200000015</v>
      </c>
      <c r="M129" s="34">
        <f t="shared" si="16"/>
        <v>7682.7828000000018</v>
      </c>
      <c r="N129" s="34">
        <f t="shared" si="16"/>
        <v>7682.7828000000018</v>
      </c>
      <c r="O129" s="34">
        <f t="shared" si="16"/>
        <v>7682.7828000000018</v>
      </c>
      <c r="P129" s="34">
        <f t="shared" si="16"/>
        <v>7703.8315200000015</v>
      </c>
      <c r="Q129" s="34">
        <f t="shared" si="16"/>
        <v>7682.7828000000018</v>
      </c>
      <c r="R129" s="34">
        <f t="shared" si="16"/>
        <v>7682.7828000000018</v>
      </c>
      <c r="S129" s="34">
        <f t="shared" si="16"/>
        <v>7682.7828000000018</v>
      </c>
      <c r="T129" s="34">
        <f t="shared" si="16"/>
        <v>7703.8315200000015</v>
      </c>
      <c r="U129" s="34">
        <f t="shared" si="16"/>
        <v>7682.7828000000018</v>
      </c>
      <c r="V129" s="34">
        <f t="shared" si="15"/>
        <v>106098.17803200003</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145.07998308571428</v>
      </c>
      <c r="H134" s="34">
        <f t="shared" si="21"/>
        <v>218.21619373714287</v>
      </c>
      <c r="I134" s="34">
        <f t="shared" si="21"/>
        <v>290.15996617142855</v>
      </c>
      <c r="J134" s="34">
        <f t="shared" si="21"/>
        <v>362.69995771428574</v>
      </c>
      <c r="K134" s="34">
        <f t="shared" si="21"/>
        <v>362.69995771428574</v>
      </c>
      <c r="L134" s="34">
        <f t="shared" si="21"/>
        <v>363.69365622857146</v>
      </c>
      <c r="M134" s="34">
        <f t="shared" si="21"/>
        <v>362.69995771428574</v>
      </c>
      <c r="N134" s="34">
        <f t="shared" si="21"/>
        <v>362.69995771428574</v>
      </c>
      <c r="O134" s="34">
        <f t="shared" si="21"/>
        <v>362.69995771428574</v>
      </c>
      <c r="P134" s="34">
        <f t="shared" si="21"/>
        <v>363.69365622857146</v>
      </c>
      <c r="Q134" s="34">
        <f t="shared" si="21"/>
        <v>362.69995771428574</v>
      </c>
      <c r="R134" s="34">
        <f t="shared" si="21"/>
        <v>362.69995771428574</v>
      </c>
      <c r="S134" s="34">
        <f t="shared" si="21"/>
        <v>362.69995771428574</v>
      </c>
      <c r="T134" s="34">
        <f t="shared" si="21"/>
        <v>363.69365622857146</v>
      </c>
      <c r="U134" s="34">
        <f t="shared" si="21"/>
        <v>362.69995771428574</v>
      </c>
      <c r="V134" s="34">
        <f t="shared" si="15"/>
        <v>5008.8367311085722</v>
      </c>
    </row>
    <row r="135" spans="2:25" ht="21">
      <c r="B135" s="27" t="s">
        <v>640</v>
      </c>
      <c r="C135" s="33" t="s">
        <v>635</v>
      </c>
      <c r="D135" s="33" t="s">
        <v>359</v>
      </c>
      <c r="E135" s="33" t="s">
        <v>639</v>
      </c>
      <c r="F135" s="33"/>
      <c r="G135" s="34">
        <f t="shared" ref="G135:U135" si="22">IF(AND($G$94="Yes",OR($G$88="AD",$G$89="AD")),IF(ISNUMBER($G$85),G$117*N(G126)*$G$85,N(G124)*G127*$F$36*G$120/365)*N($F$53)*(44/28)*$F$31/1000,0)</f>
        <v>362.69995771428563</v>
      </c>
      <c r="H135" s="34">
        <f t="shared" si="22"/>
        <v>545.5404843428571</v>
      </c>
      <c r="I135" s="34">
        <f t="shared" si="22"/>
        <v>725.39991542857126</v>
      </c>
      <c r="J135" s="34">
        <f t="shared" si="22"/>
        <v>906.74989428571428</v>
      </c>
      <c r="K135" s="34">
        <f t="shared" si="22"/>
        <v>906.74989428571428</v>
      </c>
      <c r="L135" s="34">
        <f t="shared" si="22"/>
        <v>909.23414057142838</v>
      </c>
      <c r="M135" s="34">
        <f t="shared" si="22"/>
        <v>906.74989428571428</v>
      </c>
      <c r="N135" s="34">
        <f t="shared" si="22"/>
        <v>906.74989428571428</v>
      </c>
      <c r="O135" s="34">
        <f t="shared" si="22"/>
        <v>906.74989428571428</v>
      </c>
      <c r="P135" s="34">
        <f t="shared" si="22"/>
        <v>909.23414057142838</v>
      </c>
      <c r="Q135" s="34">
        <f t="shared" si="22"/>
        <v>906.74989428571428</v>
      </c>
      <c r="R135" s="34">
        <f t="shared" si="22"/>
        <v>906.74989428571428</v>
      </c>
      <c r="S135" s="34">
        <f t="shared" si="22"/>
        <v>906.74989428571428</v>
      </c>
      <c r="T135" s="34">
        <f t="shared" si="22"/>
        <v>909.23414057142838</v>
      </c>
      <c r="U135" s="34">
        <f t="shared" si="22"/>
        <v>906.74989428571428</v>
      </c>
      <c r="V135" s="34">
        <f t="shared" si="15"/>
        <v>12522.09182777143</v>
      </c>
    </row>
    <row r="136" spans="2:25" ht="31.5">
      <c r="B136" s="27" t="s">
        <v>641</v>
      </c>
      <c r="C136" s="33"/>
      <c r="D136" s="33" t="s">
        <v>359</v>
      </c>
      <c r="E136" s="33" t="s">
        <v>642</v>
      </c>
      <c r="F136" s="33"/>
      <c r="G136" s="34">
        <f t="shared" ref="G136:U136" si="23">G129*(1-G$121)*N(G$200)*N(G$201)-(G130+G131+G132+G133+G134+G135)</f>
        <v>2088.4076576923649</v>
      </c>
      <c r="H136" s="34">
        <f t="shared" si="23"/>
        <v>3189.1908263124105</v>
      </c>
      <c r="I136" s="34">
        <f t="shared" si="23"/>
        <v>4357.4406121258498</v>
      </c>
      <c r="J136" s="34">
        <f t="shared" si="23"/>
        <v>5446.8007651573143</v>
      </c>
      <c r="K136" s="34">
        <f t="shared" si="23"/>
        <v>5446.8007651573143</v>
      </c>
      <c r="L136" s="34">
        <f t="shared" si="23"/>
        <v>5461.7235069796625</v>
      </c>
      <c r="M136" s="34">
        <f t="shared" si="23"/>
        <v>5446.8007651573143</v>
      </c>
      <c r="N136" s="34">
        <f t="shared" si="23"/>
        <v>5446.8007651573143</v>
      </c>
      <c r="O136" s="34">
        <f t="shared" si="23"/>
        <v>5446.8007651573143</v>
      </c>
      <c r="P136" s="34">
        <f t="shared" si="23"/>
        <v>5461.7235069796625</v>
      </c>
      <c r="Q136" s="34">
        <f t="shared" si="23"/>
        <v>5446.8007651573143</v>
      </c>
      <c r="R136" s="34">
        <f t="shared" si="23"/>
        <v>5446.8007651573143</v>
      </c>
      <c r="S136" s="34">
        <f t="shared" si="23"/>
        <v>5446.8007651573143</v>
      </c>
      <c r="T136" s="34">
        <f t="shared" si="23"/>
        <v>5461.7235069796625</v>
      </c>
      <c r="U136" s="34">
        <f t="shared" si="23"/>
        <v>5446.8007651573143</v>
      </c>
      <c r="V136" s="34">
        <f t="shared" si="15"/>
        <v>75041.416503485438</v>
      </c>
      <c r="Y136" s="50" t="s">
        <v>643</v>
      </c>
    </row>
    <row r="137" spans="2:25" ht="22.5">
      <c r="B137" s="25" t="str">
        <f>"Stratum 2: "&amp;IF(H$74="","not used",H$74)</f>
        <v>Stratum 2: Septic tanks emptied informally in the baseline (sludge to drains)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20000</v>
      </c>
      <c r="H138" s="63">
        <v>30000</v>
      </c>
      <c r="I138" s="63">
        <v>40000</v>
      </c>
      <c r="J138" s="63">
        <v>50000</v>
      </c>
      <c r="K138" s="63">
        <v>50000</v>
      </c>
      <c r="L138" s="63">
        <v>50000</v>
      </c>
      <c r="M138" s="63">
        <v>50000</v>
      </c>
      <c r="N138" s="63">
        <v>50000</v>
      </c>
      <c r="O138" s="63">
        <v>50000</v>
      </c>
      <c r="P138" s="63">
        <v>50000</v>
      </c>
      <c r="Q138" s="63">
        <v>50000</v>
      </c>
      <c r="R138" s="63">
        <v>50000</v>
      </c>
      <c r="S138" s="63">
        <v>50000</v>
      </c>
      <c r="T138" s="63">
        <v>50000</v>
      </c>
      <c r="U138" s="63">
        <v>50000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0.5</v>
      </c>
      <c r="H141" s="45">
        <f t="shared" si="25"/>
        <v>0.5</v>
      </c>
      <c r="I141" s="45">
        <f t="shared" si="25"/>
        <v>0.5</v>
      </c>
      <c r="J141" s="45">
        <f t="shared" si="25"/>
        <v>0.5</v>
      </c>
      <c r="K141" s="45">
        <f t="shared" si="25"/>
        <v>0.5</v>
      </c>
      <c r="L141" s="45">
        <f t="shared" si="25"/>
        <v>0.5</v>
      </c>
      <c r="M141" s="45">
        <f t="shared" si="25"/>
        <v>0.5</v>
      </c>
      <c r="N141" s="45">
        <f t="shared" si="25"/>
        <v>0.5</v>
      </c>
      <c r="O141" s="45">
        <f t="shared" si="25"/>
        <v>0.5</v>
      </c>
      <c r="P141" s="45">
        <f t="shared" si="25"/>
        <v>0.5</v>
      </c>
      <c r="Q141" s="45">
        <f t="shared" si="25"/>
        <v>0.5</v>
      </c>
      <c r="R141" s="45">
        <f t="shared" si="25"/>
        <v>0.5</v>
      </c>
      <c r="S141" s="45">
        <f t="shared" si="25"/>
        <v>0.5</v>
      </c>
      <c r="T141" s="45">
        <f t="shared" si="25"/>
        <v>0.5</v>
      </c>
      <c r="U141" s="45">
        <f t="shared" si="25"/>
        <v>0.5</v>
      </c>
      <c r="V141" s="33"/>
    </row>
    <row r="142" spans="2:25">
      <c r="B142" s="27" t="s">
        <v>626</v>
      </c>
      <c r="C142" s="33" t="s">
        <v>627</v>
      </c>
      <c r="D142" s="33" t="s">
        <v>359</v>
      </c>
      <c r="E142" s="33" t="s">
        <v>107</v>
      </c>
      <c r="F142" s="33"/>
      <c r="G142" s="34">
        <f t="shared" ref="G142:U142" si="26">IF($H$75="",0,N(G138)*G$120*$F$22*$F$25*$H$80*G141*$F$30/1000)</f>
        <v>229.33680000000001</v>
      </c>
      <c r="H142" s="34">
        <f t="shared" si="26"/>
        <v>344.94767999999999</v>
      </c>
      <c r="I142" s="34">
        <f t="shared" si="26"/>
        <v>458.67360000000002</v>
      </c>
      <c r="J142" s="34">
        <f t="shared" si="26"/>
        <v>573.34199999999998</v>
      </c>
      <c r="K142" s="34">
        <f t="shared" si="26"/>
        <v>573.34199999999998</v>
      </c>
      <c r="L142" s="34">
        <f t="shared" si="26"/>
        <v>574.91279999999995</v>
      </c>
      <c r="M142" s="34">
        <f t="shared" si="26"/>
        <v>573.34199999999998</v>
      </c>
      <c r="N142" s="34">
        <f t="shared" si="26"/>
        <v>573.34199999999998</v>
      </c>
      <c r="O142" s="34">
        <f t="shared" si="26"/>
        <v>573.34199999999998</v>
      </c>
      <c r="P142" s="34">
        <f t="shared" si="26"/>
        <v>574.91279999999995</v>
      </c>
      <c r="Q142" s="34">
        <f t="shared" si="26"/>
        <v>573.34199999999998</v>
      </c>
      <c r="R142" s="34">
        <f t="shared" si="26"/>
        <v>573.34199999999998</v>
      </c>
      <c r="S142" s="34">
        <f t="shared" si="26"/>
        <v>573.34199999999998</v>
      </c>
      <c r="T142" s="34">
        <f t="shared" si="26"/>
        <v>574.91279999999995</v>
      </c>
      <c r="U142" s="34">
        <f t="shared" si="26"/>
        <v>573.34199999999998</v>
      </c>
      <c r="V142" s="34">
        <f t="shared" ref="V142:V150" si="27">SUMPRODUCT($G$117:$U$117,G142:U142)</f>
        <v>7917.7744799999991</v>
      </c>
    </row>
    <row r="143" spans="2:25">
      <c r="B143" s="27" t="s">
        <v>628</v>
      </c>
      <c r="C143" s="33" t="s">
        <v>629</v>
      </c>
      <c r="D143" s="33" t="s">
        <v>359</v>
      </c>
      <c r="E143" s="33" t="s">
        <v>129</v>
      </c>
      <c r="F143" s="33"/>
      <c r="G143" s="34">
        <f t="shared" ref="G143:U143" si="28">IF($H$75="",0,G142*$H$83)</f>
        <v>71.094408000000001</v>
      </c>
      <c r="H143" s="34">
        <f t="shared" si="28"/>
        <v>106.93378079999999</v>
      </c>
      <c r="I143" s="34">
        <f t="shared" si="28"/>
        <v>142.188816</v>
      </c>
      <c r="J143" s="34">
        <f t="shared" si="28"/>
        <v>177.73602</v>
      </c>
      <c r="K143" s="34">
        <f t="shared" si="28"/>
        <v>177.73602</v>
      </c>
      <c r="L143" s="34">
        <f t="shared" si="28"/>
        <v>178.22296799999998</v>
      </c>
      <c r="M143" s="34">
        <f t="shared" si="28"/>
        <v>177.73602</v>
      </c>
      <c r="N143" s="34">
        <f t="shared" si="28"/>
        <v>177.73602</v>
      </c>
      <c r="O143" s="34">
        <f t="shared" si="28"/>
        <v>177.73602</v>
      </c>
      <c r="P143" s="34">
        <f t="shared" si="28"/>
        <v>178.22296799999998</v>
      </c>
      <c r="Q143" s="34">
        <f t="shared" si="28"/>
        <v>177.73602</v>
      </c>
      <c r="R143" s="34">
        <f t="shared" si="28"/>
        <v>177.73602</v>
      </c>
      <c r="S143" s="34">
        <f t="shared" si="28"/>
        <v>177.73602</v>
      </c>
      <c r="T143" s="34">
        <f t="shared" si="28"/>
        <v>178.22296799999998</v>
      </c>
      <c r="U143" s="34">
        <f t="shared" si="28"/>
        <v>177.73602</v>
      </c>
      <c r="V143" s="34">
        <f t="shared" si="27"/>
        <v>2454.5100888000002</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36.269995771428569</v>
      </c>
      <c r="H148" s="34">
        <f t="shared" si="33"/>
        <v>54.554048434285718</v>
      </c>
      <c r="I148" s="34">
        <f t="shared" si="33"/>
        <v>72.539991542857138</v>
      </c>
      <c r="J148" s="34">
        <f t="shared" si="33"/>
        <v>90.674989428571436</v>
      </c>
      <c r="K148" s="34">
        <f t="shared" si="33"/>
        <v>90.674989428571436</v>
      </c>
      <c r="L148" s="34">
        <f t="shared" si="33"/>
        <v>90.923414057142864</v>
      </c>
      <c r="M148" s="34">
        <f t="shared" si="33"/>
        <v>90.674989428571436</v>
      </c>
      <c r="N148" s="34">
        <f t="shared" si="33"/>
        <v>90.674989428571436</v>
      </c>
      <c r="O148" s="34">
        <f t="shared" si="33"/>
        <v>90.674989428571436</v>
      </c>
      <c r="P148" s="34">
        <f t="shared" si="33"/>
        <v>90.923414057142864</v>
      </c>
      <c r="Q148" s="34">
        <f t="shared" si="33"/>
        <v>90.674989428571436</v>
      </c>
      <c r="R148" s="34">
        <f t="shared" si="33"/>
        <v>90.674989428571436</v>
      </c>
      <c r="S148" s="34">
        <f t="shared" si="33"/>
        <v>90.674989428571436</v>
      </c>
      <c r="T148" s="34">
        <f t="shared" si="33"/>
        <v>90.923414057142864</v>
      </c>
      <c r="U148" s="34">
        <f t="shared" si="33"/>
        <v>90.674989428571436</v>
      </c>
      <c r="V148" s="34">
        <f t="shared" si="27"/>
        <v>1252.209182777143</v>
      </c>
    </row>
    <row r="149" spans="2:25" ht="21">
      <c r="B149" s="27" t="s">
        <v>640</v>
      </c>
      <c r="C149" s="33" t="s">
        <v>635</v>
      </c>
      <c r="D149" s="33" t="s">
        <v>359</v>
      </c>
      <c r="E149" s="33" t="s">
        <v>639</v>
      </c>
      <c r="F149" s="33"/>
      <c r="G149" s="34">
        <f t="shared" ref="G149:U149" si="34">IF(AND($H$94="Yes",OR($H$88="AD",$H$89="AD")),IF(ISNUMBER($H$85),G$117*N(G140)*$H$85,N(G138)*G141*$F$36*G$120/365)*N($F$53)*(44/28)*$F$31/1000,0)</f>
        <v>90.674989428571408</v>
      </c>
      <c r="H149" s="34">
        <f t="shared" si="34"/>
        <v>136.38512108571427</v>
      </c>
      <c r="I149" s="34">
        <f t="shared" si="34"/>
        <v>181.34997885714282</v>
      </c>
      <c r="J149" s="34">
        <f t="shared" si="34"/>
        <v>226.68747357142857</v>
      </c>
      <c r="K149" s="34">
        <f t="shared" si="34"/>
        <v>226.68747357142857</v>
      </c>
      <c r="L149" s="34">
        <f t="shared" si="34"/>
        <v>227.3085351428571</v>
      </c>
      <c r="M149" s="34">
        <f t="shared" si="34"/>
        <v>226.68747357142857</v>
      </c>
      <c r="N149" s="34">
        <f t="shared" si="34"/>
        <v>226.68747357142857</v>
      </c>
      <c r="O149" s="34">
        <f t="shared" si="34"/>
        <v>226.68747357142857</v>
      </c>
      <c r="P149" s="34">
        <f t="shared" si="34"/>
        <v>227.3085351428571</v>
      </c>
      <c r="Q149" s="34">
        <f t="shared" si="34"/>
        <v>226.68747357142857</v>
      </c>
      <c r="R149" s="34">
        <f t="shared" si="34"/>
        <v>226.68747357142857</v>
      </c>
      <c r="S149" s="34">
        <f t="shared" si="34"/>
        <v>226.68747357142857</v>
      </c>
      <c r="T149" s="34">
        <f t="shared" si="34"/>
        <v>227.3085351428571</v>
      </c>
      <c r="U149" s="34">
        <f t="shared" si="34"/>
        <v>226.68747357142857</v>
      </c>
      <c r="V149" s="34">
        <f t="shared" si="27"/>
        <v>3130.5229569428575</v>
      </c>
    </row>
    <row r="150" spans="2:25" ht="22.5">
      <c r="B150" s="27" t="s">
        <v>641</v>
      </c>
      <c r="C150" s="33"/>
      <c r="D150" s="33" t="s">
        <v>359</v>
      </c>
      <c r="E150" s="33" t="s">
        <v>642</v>
      </c>
      <c r="F150" s="33"/>
      <c r="G150" s="34">
        <f t="shared" ref="G150:U150" si="35">G143*(1-G$121)*N(G$200)*N(G$201)-(G144+G145+G146+G147+G148+G149)</f>
        <v>-66.883928816967654</v>
      </c>
      <c r="H150" s="34">
        <f t="shared" si="35"/>
        <v>-99.49038397062337</v>
      </c>
      <c r="I150" s="34">
        <f t="shared" si="35"/>
        <v>-129.58921270932728</v>
      </c>
      <c r="J150" s="34">
        <f t="shared" si="35"/>
        <v>-161.98651588665919</v>
      </c>
      <c r="K150" s="34">
        <f t="shared" si="35"/>
        <v>-161.98651588665919</v>
      </c>
      <c r="L150" s="34">
        <f t="shared" si="35"/>
        <v>-162.43031456032128</v>
      </c>
      <c r="M150" s="34">
        <f t="shared" si="35"/>
        <v>-161.98651588665919</v>
      </c>
      <c r="N150" s="34">
        <f t="shared" si="35"/>
        <v>-161.98651588665919</v>
      </c>
      <c r="O150" s="34">
        <f t="shared" si="35"/>
        <v>-161.98651588665919</v>
      </c>
      <c r="P150" s="34">
        <f t="shared" si="35"/>
        <v>-162.43031456032128</v>
      </c>
      <c r="Q150" s="34">
        <f t="shared" si="35"/>
        <v>-161.98651588665919</v>
      </c>
      <c r="R150" s="34">
        <f t="shared" si="35"/>
        <v>-161.98651588665919</v>
      </c>
      <c r="S150" s="34">
        <f t="shared" si="35"/>
        <v>-161.98651588665919</v>
      </c>
      <c r="T150" s="34">
        <f t="shared" si="35"/>
        <v>-162.43031456032128</v>
      </c>
      <c r="U150" s="34">
        <f t="shared" si="35"/>
        <v>-161.98651588665919</v>
      </c>
      <c r="V150" s="34">
        <f t="shared" si="27"/>
        <v>-2241.1331121578146</v>
      </c>
    </row>
    <row r="151" spans="2:25">
      <c r="B151" s="25" t="str">
        <f>"Stratum 3: "&amp;IF(I$74="","not used",I$74)</f>
        <v>Stratum 3: not used</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c r="H152" s="63"/>
      <c r="I152" s="63"/>
      <c r="J152" s="63"/>
      <c r="K152" s="63"/>
      <c r="L152" s="63"/>
      <c r="M152" s="63"/>
      <c r="N152" s="63"/>
      <c r="O152" s="63"/>
      <c r="P152" s="63"/>
      <c r="Q152" s="63"/>
      <c r="R152" s="63"/>
      <c r="S152" s="63"/>
      <c r="T152" s="63"/>
      <c r="U152" s="63"/>
      <c r="V152" s="33"/>
    </row>
    <row r="153" spans="2:25">
      <c r="B153" s="27" t="s">
        <v>617</v>
      </c>
      <c r="C153" s="33" t="s">
        <v>618</v>
      </c>
      <c r="D153" s="33" t="s">
        <v>619</v>
      </c>
      <c r="E153" s="33" t="s">
        <v>255</v>
      </c>
      <c r="F153" s="33"/>
      <c r="G153" s="68"/>
      <c r="H153" s="68"/>
      <c r="I153" s="68"/>
      <c r="J153" s="68"/>
      <c r="K153" s="68"/>
      <c r="L153" s="68"/>
      <c r="M153" s="68"/>
      <c r="N153" s="68"/>
      <c r="O153" s="68"/>
      <c r="P153" s="68"/>
      <c r="Q153" s="68"/>
      <c r="R153" s="68"/>
      <c r="S153" s="68"/>
      <c r="T153" s="68"/>
      <c r="U153" s="68"/>
      <c r="V153" s="43">
        <f>SUMPRODUCT($G$117:$U$117,G153:U153)</f>
        <v>0</v>
      </c>
      <c r="Y153" s="50" t="s">
        <v>620</v>
      </c>
    </row>
    <row r="154" spans="2:25">
      <c r="B154" s="27" t="s">
        <v>621</v>
      </c>
      <c r="C154" s="33" t="s">
        <v>622</v>
      </c>
      <c r="D154" s="33" t="s">
        <v>619</v>
      </c>
      <c r="E154" s="33" t="s">
        <v>168</v>
      </c>
      <c r="F154" s="33"/>
      <c r="G154" s="68"/>
      <c r="H154" s="68"/>
      <c r="I154" s="68"/>
      <c r="J154" s="68"/>
      <c r="K154" s="68"/>
      <c r="L154" s="68"/>
      <c r="M154" s="68"/>
      <c r="N154" s="68"/>
      <c r="O154" s="68"/>
      <c r="P154" s="68"/>
      <c r="Q154" s="68"/>
      <c r="R154" s="68"/>
      <c r="S154" s="68"/>
      <c r="T154" s="68"/>
      <c r="U154" s="68"/>
      <c r="V154" s="43">
        <f>SUMPRODUCT($G$117:$U$117,G154:U154)</f>
        <v>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0</v>
      </c>
      <c r="H155" s="45">
        <f t="shared" si="37"/>
        <v>0</v>
      </c>
      <c r="I155" s="45">
        <f t="shared" si="37"/>
        <v>0</v>
      </c>
      <c r="J155" s="45">
        <f t="shared" si="37"/>
        <v>0</v>
      </c>
      <c r="K155" s="45">
        <f t="shared" si="37"/>
        <v>0</v>
      </c>
      <c r="L155" s="45">
        <f t="shared" si="37"/>
        <v>0</v>
      </c>
      <c r="M155" s="45">
        <f t="shared" si="37"/>
        <v>0</v>
      </c>
      <c r="N155" s="45">
        <f t="shared" si="37"/>
        <v>0</v>
      </c>
      <c r="O155" s="45">
        <f t="shared" si="37"/>
        <v>0</v>
      </c>
      <c r="P155" s="45">
        <f t="shared" si="37"/>
        <v>0</v>
      </c>
      <c r="Q155" s="45">
        <f t="shared" si="37"/>
        <v>0</v>
      </c>
      <c r="R155" s="45">
        <f t="shared" si="37"/>
        <v>0</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0</v>
      </c>
      <c r="H156" s="34">
        <f t="shared" si="38"/>
        <v>0</v>
      </c>
      <c r="I156" s="34">
        <f t="shared" si="38"/>
        <v>0</v>
      </c>
      <c r="J156" s="34">
        <f t="shared" si="38"/>
        <v>0</v>
      </c>
      <c r="K156" s="34">
        <f t="shared" si="38"/>
        <v>0</v>
      </c>
      <c r="L156" s="34">
        <f t="shared" si="38"/>
        <v>0</v>
      </c>
      <c r="M156" s="34">
        <f t="shared" si="38"/>
        <v>0</v>
      </c>
      <c r="N156" s="34">
        <f t="shared" si="38"/>
        <v>0</v>
      </c>
      <c r="O156" s="34">
        <f t="shared" si="38"/>
        <v>0</v>
      </c>
      <c r="P156" s="34">
        <f t="shared" si="38"/>
        <v>0</v>
      </c>
      <c r="Q156" s="34">
        <f t="shared" si="38"/>
        <v>0</v>
      </c>
      <c r="R156" s="34">
        <f t="shared" si="38"/>
        <v>0</v>
      </c>
      <c r="S156" s="34">
        <f t="shared" si="38"/>
        <v>0</v>
      </c>
      <c r="T156" s="34">
        <f t="shared" si="38"/>
        <v>0</v>
      </c>
      <c r="U156" s="34">
        <f t="shared" si="38"/>
        <v>0</v>
      </c>
      <c r="V156" s="34">
        <f t="shared" ref="V156:V164" si="39">SUMPRODUCT($G$117:$U$117,G156:U156)</f>
        <v>0</v>
      </c>
    </row>
    <row r="157" spans="2:25">
      <c r="B157" s="27" t="s">
        <v>628</v>
      </c>
      <c r="C157" s="33" t="s">
        <v>629</v>
      </c>
      <c r="D157" s="33" t="s">
        <v>359</v>
      </c>
      <c r="E157" s="33" t="s">
        <v>129</v>
      </c>
      <c r="F157" s="33"/>
      <c r="G157" s="34">
        <f t="shared" ref="G157:U157" si="40">IF($I$75="",0,G156*$I$83)</f>
        <v>0</v>
      </c>
      <c r="H157" s="34">
        <f t="shared" si="40"/>
        <v>0</v>
      </c>
      <c r="I157" s="34">
        <f t="shared" si="40"/>
        <v>0</v>
      </c>
      <c r="J157" s="34">
        <f t="shared" si="40"/>
        <v>0</v>
      </c>
      <c r="K157" s="34">
        <f t="shared" si="40"/>
        <v>0</v>
      </c>
      <c r="L157" s="34">
        <f t="shared" si="40"/>
        <v>0</v>
      </c>
      <c r="M157" s="34">
        <f t="shared" si="40"/>
        <v>0</v>
      </c>
      <c r="N157" s="34">
        <f t="shared" si="40"/>
        <v>0</v>
      </c>
      <c r="O157" s="34">
        <f t="shared" si="40"/>
        <v>0</v>
      </c>
      <c r="P157" s="34">
        <f t="shared" si="40"/>
        <v>0</v>
      </c>
      <c r="Q157" s="34">
        <f t="shared" si="40"/>
        <v>0</v>
      </c>
      <c r="R157" s="34">
        <f t="shared" si="40"/>
        <v>0</v>
      </c>
      <c r="S157" s="34">
        <f t="shared" si="40"/>
        <v>0</v>
      </c>
      <c r="T157" s="34">
        <f t="shared" si="40"/>
        <v>0</v>
      </c>
      <c r="U157" s="34">
        <f t="shared" si="40"/>
        <v>0</v>
      </c>
      <c r="V157" s="34">
        <f t="shared" si="39"/>
        <v>0</v>
      </c>
    </row>
    <row r="158" spans="2:25" ht="21">
      <c r="B158" s="27" t="s">
        <v>630</v>
      </c>
      <c r="C158" s="33" t="s">
        <v>631</v>
      </c>
      <c r="D158" s="33" t="s">
        <v>359</v>
      </c>
      <c r="E158" s="33" t="s">
        <v>632</v>
      </c>
      <c r="F158" s="33"/>
      <c r="G158" s="34">
        <f t="shared" ref="G158:U158" si="41">IF(OR($I$88="FST",$I$88="WW"),N(G152)*G$120*$F$22*$F$25*$I$90*G155*$F$30/1000,0)</f>
        <v>0</v>
      </c>
      <c r="H158" s="34">
        <f t="shared" si="41"/>
        <v>0</v>
      </c>
      <c r="I158" s="34">
        <f t="shared" si="41"/>
        <v>0</v>
      </c>
      <c r="J158" s="34">
        <f t="shared" si="41"/>
        <v>0</v>
      </c>
      <c r="K158" s="34">
        <f t="shared" si="41"/>
        <v>0</v>
      </c>
      <c r="L158" s="34">
        <f t="shared" si="41"/>
        <v>0</v>
      </c>
      <c r="M158" s="34">
        <f t="shared" si="41"/>
        <v>0</v>
      </c>
      <c r="N158" s="34">
        <f t="shared" si="41"/>
        <v>0</v>
      </c>
      <c r="O158" s="34">
        <f t="shared" si="41"/>
        <v>0</v>
      </c>
      <c r="P158" s="34">
        <f t="shared" si="41"/>
        <v>0</v>
      </c>
      <c r="Q158" s="34">
        <f t="shared" si="41"/>
        <v>0</v>
      </c>
      <c r="R158" s="34">
        <f t="shared" si="41"/>
        <v>0</v>
      </c>
      <c r="S158" s="34">
        <f t="shared" si="41"/>
        <v>0</v>
      </c>
      <c r="T158" s="34">
        <f t="shared" si="41"/>
        <v>0</v>
      </c>
      <c r="U158" s="34">
        <f t="shared" si="41"/>
        <v>0</v>
      </c>
      <c r="V158" s="34">
        <f t="shared" si="39"/>
        <v>0</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0</v>
      </c>
      <c r="H160" s="34">
        <f t="shared" si="43"/>
        <v>0</v>
      </c>
      <c r="I160" s="34">
        <f t="shared" si="43"/>
        <v>0</v>
      </c>
      <c r="J160" s="34">
        <f t="shared" si="43"/>
        <v>0</v>
      </c>
      <c r="K160" s="34">
        <f t="shared" si="43"/>
        <v>0</v>
      </c>
      <c r="L160" s="34">
        <f t="shared" si="43"/>
        <v>0</v>
      </c>
      <c r="M160" s="34">
        <f t="shared" si="43"/>
        <v>0</v>
      </c>
      <c r="N160" s="34">
        <f t="shared" si="43"/>
        <v>0</v>
      </c>
      <c r="O160" s="34">
        <f t="shared" si="43"/>
        <v>0</v>
      </c>
      <c r="P160" s="34">
        <f t="shared" si="43"/>
        <v>0</v>
      </c>
      <c r="Q160" s="34">
        <f t="shared" si="43"/>
        <v>0</v>
      </c>
      <c r="R160" s="34">
        <f t="shared" si="43"/>
        <v>0</v>
      </c>
      <c r="S160" s="34">
        <f t="shared" si="43"/>
        <v>0</v>
      </c>
      <c r="T160" s="34">
        <f t="shared" si="43"/>
        <v>0</v>
      </c>
      <c r="U160" s="34">
        <f t="shared" si="43"/>
        <v>0</v>
      </c>
      <c r="V160" s="34">
        <f t="shared" si="39"/>
        <v>0</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0</v>
      </c>
      <c r="H164" s="34">
        <f t="shared" si="47"/>
        <v>0</v>
      </c>
      <c r="I164" s="34">
        <f t="shared" si="47"/>
        <v>0</v>
      </c>
      <c r="J164" s="34">
        <f t="shared" si="47"/>
        <v>0</v>
      </c>
      <c r="K164" s="34">
        <f t="shared" si="47"/>
        <v>0</v>
      </c>
      <c r="L164" s="34">
        <f t="shared" si="47"/>
        <v>0</v>
      </c>
      <c r="M164" s="34">
        <f t="shared" si="47"/>
        <v>0</v>
      </c>
      <c r="N164" s="34">
        <f t="shared" si="47"/>
        <v>0</v>
      </c>
      <c r="O164" s="34">
        <f t="shared" si="47"/>
        <v>0</v>
      </c>
      <c r="P164" s="34">
        <f t="shared" si="47"/>
        <v>0</v>
      </c>
      <c r="Q164" s="34">
        <f t="shared" si="47"/>
        <v>0</v>
      </c>
      <c r="R164" s="34">
        <f t="shared" si="47"/>
        <v>0</v>
      </c>
      <c r="S164" s="34">
        <f t="shared" si="47"/>
        <v>0</v>
      </c>
      <c r="T164" s="34">
        <f t="shared" si="47"/>
        <v>0</v>
      </c>
      <c r="U164" s="34">
        <f t="shared" si="47"/>
        <v>0</v>
      </c>
      <c r="V164" s="34">
        <f t="shared" si="39"/>
        <v>0</v>
      </c>
    </row>
    <row r="165" spans="2:25">
      <c r="B165" s="25" t="str">
        <f>"Stratum 4: "&amp;IF(J$74="","not used",J$74)</f>
        <v>Stratum 4: not used</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c r="H166" s="63"/>
      <c r="I166" s="63"/>
      <c r="J166" s="63"/>
      <c r="K166" s="63"/>
      <c r="L166" s="63"/>
      <c r="M166" s="63"/>
      <c r="N166" s="63"/>
      <c r="O166" s="63"/>
      <c r="P166" s="63"/>
      <c r="Q166" s="63"/>
      <c r="R166" s="63"/>
      <c r="S166" s="63"/>
      <c r="T166" s="63"/>
      <c r="U166" s="63"/>
      <c r="V166" s="33"/>
    </row>
    <row r="167" spans="2:25">
      <c r="B167" s="27" t="s">
        <v>617</v>
      </c>
      <c r="C167" s="33" t="s">
        <v>618</v>
      </c>
      <c r="D167" s="33" t="s">
        <v>619</v>
      </c>
      <c r="E167" s="33" t="s">
        <v>255</v>
      </c>
      <c r="F167" s="33"/>
      <c r="G167" s="68"/>
      <c r="H167" s="68"/>
      <c r="I167" s="68"/>
      <c r="J167" s="68"/>
      <c r="K167" s="68"/>
      <c r="L167" s="68"/>
      <c r="M167" s="68"/>
      <c r="N167" s="68"/>
      <c r="O167" s="68"/>
      <c r="P167" s="68"/>
      <c r="Q167" s="68"/>
      <c r="R167" s="68"/>
      <c r="S167" s="68"/>
      <c r="T167" s="68"/>
      <c r="U167" s="68"/>
      <c r="V167" s="43">
        <f>SUMPRODUCT($G$117:$U$117,G167:U167)</f>
        <v>0</v>
      </c>
      <c r="Y167" s="50" t="s">
        <v>620</v>
      </c>
    </row>
    <row r="168" spans="2:25">
      <c r="B168" s="27" t="s">
        <v>621</v>
      </c>
      <c r="C168" s="33" t="s">
        <v>622</v>
      </c>
      <c r="D168" s="33" t="s">
        <v>619</v>
      </c>
      <c r="E168" s="33" t="s">
        <v>168</v>
      </c>
      <c r="F168" s="33"/>
      <c r="G168" s="68"/>
      <c r="H168" s="68"/>
      <c r="I168" s="68"/>
      <c r="J168" s="68"/>
      <c r="K168" s="68"/>
      <c r="L168" s="68"/>
      <c r="M168" s="68"/>
      <c r="N168" s="68"/>
      <c r="O168" s="68"/>
      <c r="P168" s="68"/>
      <c r="Q168" s="68"/>
      <c r="R168" s="68"/>
      <c r="S168" s="68"/>
      <c r="T168" s="68"/>
      <c r="U168" s="68"/>
      <c r="V168" s="43">
        <f>SUMPRODUCT($G$117:$U$117,G168:U168)</f>
        <v>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0</v>
      </c>
      <c r="H169" s="45">
        <f t="shared" si="49"/>
        <v>0</v>
      </c>
      <c r="I169" s="45">
        <f t="shared" si="49"/>
        <v>0</v>
      </c>
      <c r="J169" s="45">
        <f t="shared" si="49"/>
        <v>0</v>
      </c>
      <c r="K169" s="45">
        <f t="shared" si="49"/>
        <v>0</v>
      </c>
      <c r="L169" s="45">
        <f t="shared" si="49"/>
        <v>0</v>
      </c>
      <c r="M169" s="45">
        <f t="shared" si="49"/>
        <v>0</v>
      </c>
      <c r="N169" s="45">
        <f t="shared" si="49"/>
        <v>0</v>
      </c>
      <c r="O169" s="45">
        <f t="shared" si="49"/>
        <v>0</v>
      </c>
      <c r="P169" s="45">
        <f t="shared" si="49"/>
        <v>0</v>
      </c>
      <c r="Q169" s="45">
        <f t="shared" si="49"/>
        <v>0</v>
      </c>
      <c r="R169" s="45">
        <f t="shared" si="49"/>
        <v>0</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0</v>
      </c>
      <c r="H170" s="34">
        <f t="shared" si="50"/>
        <v>0</v>
      </c>
      <c r="I170" s="34">
        <f t="shared" si="50"/>
        <v>0</v>
      </c>
      <c r="J170" s="34">
        <f t="shared" si="50"/>
        <v>0</v>
      </c>
      <c r="K170" s="34">
        <f t="shared" si="50"/>
        <v>0</v>
      </c>
      <c r="L170" s="34">
        <f t="shared" si="50"/>
        <v>0</v>
      </c>
      <c r="M170" s="34">
        <f t="shared" si="50"/>
        <v>0</v>
      </c>
      <c r="N170" s="34">
        <f t="shared" si="50"/>
        <v>0</v>
      </c>
      <c r="O170" s="34">
        <f t="shared" si="50"/>
        <v>0</v>
      </c>
      <c r="P170" s="34">
        <f t="shared" si="50"/>
        <v>0</v>
      </c>
      <c r="Q170" s="34">
        <f t="shared" si="50"/>
        <v>0</v>
      </c>
      <c r="R170" s="34">
        <f t="shared" si="50"/>
        <v>0</v>
      </c>
      <c r="S170" s="34">
        <f t="shared" si="50"/>
        <v>0</v>
      </c>
      <c r="T170" s="34">
        <f t="shared" si="50"/>
        <v>0</v>
      </c>
      <c r="U170" s="34">
        <f t="shared" si="50"/>
        <v>0</v>
      </c>
      <c r="V170" s="34">
        <f t="shared" ref="V170:V178" si="51">SUMPRODUCT($G$117:$U$117,G170:U170)</f>
        <v>0</v>
      </c>
    </row>
    <row r="171" spans="2:25">
      <c r="B171" s="27" t="s">
        <v>628</v>
      </c>
      <c r="C171" s="33" t="s">
        <v>629</v>
      </c>
      <c r="D171" s="33" t="s">
        <v>359</v>
      </c>
      <c r="E171" s="33" t="s">
        <v>129</v>
      </c>
      <c r="F171" s="33"/>
      <c r="G171" s="34">
        <f t="shared" ref="G171:U171" si="52">IF($J$75="",0,G170*$J$83)</f>
        <v>0</v>
      </c>
      <c r="H171" s="34">
        <f t="shared" si="52"/>
        <v>0</v>
      </c>
      <c r="I171" s="34">
        <f t="shared" si="52"/>
        <v>0</v>
      </c>
      <c r="J171" s="34">
        <f t="shared" si="52"/>
        <v>0</v>
      </c>
      <c r="K171" s="34">
        <f t="shared" si="52"/>
        <v>0</v>
      </c>
      <c r="L171" s="34">
        <f t="shared" si="52"/>
        <v>0</v>
      </c>
      <c r="M171" s="34">
        <f t="shared" si="52"/>
        <v>0</v>
      </c>
      <c r="N171" s="34">
        <f t="shared" si="52"/>
        <v>0</v>
      </c>
      <c r="O171" s="34">
        <f t="shared" si="52"/>
        <v>0</v>
      </c>
      <c r="P171" s="34">
        <f t="shared" si="52"/>
        <v>0</v>
      </c>
      <c r="Q171" s="34">
        <f t="shared" si="52"/>
        <v>0</v>
      </c>
      <c r="R171" s="34">
        <f t="shared" si="52"/>
        <v>0</v>
      </c>
      <c r="S171" s="34">
        <f t="shared" si="52"/>
        <v>0</v>
      </c>
      <c r="T171" s="34">
        <f t="shared" si="52"/>
        <v>0</v>
      </c>
      <c r="U171" s="34">
        <f t="shared" si="52"/>
        <v>0</v>
      </c>
      <c r="V171" s="34">
        <f t="shared" si="51"/>
        <v>0</v>
      </c>
    </row>
    <row r="172" spans="2:25" ht="21">
      <c r="B172" s="27" t="s">
        <v>630</v>
      </c>
      <c r="C172" s="33" t="s">
        <v>631</v>
      </c>
      <c r="D172" s="33" t="s">
        <v>359</v>
      </c>
      <c r="E172" s="33" t="s">
        <v>632</v>
      </c>
      <c r="F172" s="33"/>
      <c r="G172" s="34">
        <f t="shared" ref="G172:U172" si="53">IF(OR($J$88="FST",$J$88="WW"),N(G166)*G$120*$F$22*$F$25*$J$90*G169*$F$30/1000,0)</f>
        <v>0</v>
      </c>
      <c r="H172" s="34">
        <f t="shared" si="53"/>
        <v>0</v>
      </c>
      <c r="I172" s="34">
        <f t="shared" si="53"/>
        <v>0</v>
      </c>
      <c r="J172" s="34">
        <f t="shared" si="53"/>
        <v>0</v>
      </c>
      <c r="K172" s="34">
        <f t="shared" si="53"/>
        <v>0</v>
      </c>
      <c r="L172" s="34">
        <f t="shared" si="53"/>
        <v>0</v>
      </c>
      <c r="M172" s="34">
        <f t="shared" si="53"/>
        <v>0</v>
      </c>
      <c r="N172" s="34">
        <f t="shared" si="53"/>
        <v>0</v>
      </c>
      <c r="O172" s="34">
        <f t="shared" si="53"/>
        <v>0</v>
      </c>
      <c r="P172" s="34">
        <f t="shared" si="53"/>
        <v>0</v>
      </c>
      <c r="Q172" s="34">
        <f t="shared" si="53"/>
        <v>0</v>
      </c>
      <c r="R172" s="34">
        <f t="shared" si="53"/>
        <v>0</v>
      </c>
      <c r="S172" s="34">
        <f t="shared" si="53"/>
        <v>0</v>
      </c>
      <c r="T172" s="34">
        <f t="shared" si="53"/>
        <v>0</v>
      </c>
      <c r="U172" s="34">
        <f t="shared" si="53"/>
        <v>0</v>
      </c>
      <c r="V172" s="34">
        <f t="shared" si="51"/>
        <v>0</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0</v>
      </c>
      <c r="H174" s="34">
        <f t="shared" si="55"/>
        <v>0</v>
      </c>
      <c r="I174" s="34">
        <f t="shared" si="55"/>
        <v>0</v>
      </c>
      <c r="J174" s="34">
        <f t="shared" si="55"/>
        <v>0</v>
      </c>
      <c r="K174" s="34">
        <f t="shared" si="55"/>
        <v>0</v>
      </c>
      <c r="L174" s="34">
        <f t="shared" si="55"/>
        <v>0</v>
      </c>
      <c r="M174" s="34">
        <f t="shared" si="55"/>
        <v>0</v>
      </c>
      <c r="N174" s="34">
        <f t="shared" si="55"/>
        <v>0</v>
      </c>
      <c r="O174" s="34">
        <f t="shared" si="55"/>
        <v>0</v>
      </c>
      <c r="P174" s="34">
        <f t="shared" si="55"/>
        <v>0</v>
      </c>
      <c r="Q174" s="34">
        <f t="shared" si="55"/>
        <v>0</v>
      </c>
      <c r="R174" s="34">
        <f t="shared" si="55"/>
        <v>0</v>
      </c>
      <c r="S174" s="34">
        <f t="shared" si="55"/>
        <v>0</v>
      </c>
      <c r="T174" s="34">
        <f t="shared" si="55"/>
        <v>0</v>
      </c>
      <c r="U174" s="34">
        <f t="shared" si="55"/>
        <v>0</v>
      </c>
      <c r="V174" s="34">
        <f t="shared" si="51"/>
        <v>0</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0</v>
      </c>
      <c r="H178" s="34">
        <f t="shared" si="59"/>
        <v>0</v>
      </c>
      <c r="I178" s="34">
        <f t="shared" si="59"/>
        <v>0</v>
      </c>
      <c r="J178" s="34">
        <f t="shared" si="59"/>
        <v>0</v>
      </c>
      <c r="K178" s="34">
        <f t="shared" si="59"/>
        <v>0</v>
      </c>
      <c r="L178" s="34">
        <f t="shared" si="59"/>
        <v>0</v>
      </c>
      <c r="M178" s="34">
        <f t="shared" si="59"/>
        <v>0</v>
      </c>
      <c r="N178" s="34">
        <f t="shared" si="59"/>
        <v>0</v>
      </c>
      <c r="O178" s="34">
        <f t="shared" si="59"/>
        <v>0</v>
      </c>
      <c r="P178" s="34">
        <f t="shared" si="59"/>
        <v>0</v>
      </c>
      <c r="Q178" s="34">
        <f t="shared" si="59"/>
        <v>0</v>
      </c>
      <c r="R178" s="34">
        <f t="shared" si="59"/>
        <v>0</v>
      </c>
      <c r="S178" s="34">
        <f t="shared" si="59"/>
        <v>0</v>
      </c>
      <c r="T178" s="34">
        <f t="shared" si="59"/>
        <v>0</v>
      </c>
      <c r="U178" s="34">
        <f t="shared" si="59"/>
        <v>0</v>
      </c>
      <c r="V178" s="34">
        <f t="shared" si="51"/>
        <v>0</v>
      </c>
    </row>
    <row r="179" spans="2:25">
      <c r="B179" s="25" t="str">
        <f>"Stratum 5: "&amp;IF(K$74="","not used",K$74)</f>
        <v>Stratum 5: not used</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c r="H180" s="63"/>
      <c r="I180" s="63"/>
      <c r="J180" s="63"/>
      <c r="K180" s="63"/>
      <c r="L180" s="63"/>
      <c r="M180" s="63"/>
      <c r="N180" s="63"/>
      <c r="O180" s="63"/>
      <c r="P180" s="63"/>
      <c r="Q180" s="63"/>
      <c r="R180" s="63"/>
      <c r="S180" s="63"/>
      <c r="T180" s="63"/>
      <c r="U180" s="63"/>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0</v>
      </c>
      <c r="H183" s="45">
        <f t="shared" si="61"/>
        <v>0</v>
      </c>
      <c r="I183" s="45">
        <f t="shared" si="61"/>
        <v>0</v>
      </c>
      <c r="J183" s="45">
        <f t="shared" si="61"/>
        <v>0</v>
      </c>
      <c r="K183" s="45">
        <f t="shared" si="61"/>
        <v>0</v>
      </c>
      <c r="L183" s="45">
        <f t="shared" si="61"/>
        <v>0</v>
      </c>
      <c r="M183" s="45">
        <f t="shared" si="61"/>
        <v>0</v>
      </c>
      <c r="N183" s="45">
        <f t="shared" si="61"/>
        <v>0</v>
      </c>
      <c r="O183" s="45">
        <f t="shared" si="61"/>
        <v>0</v>
      </c>
      <c r="P183" s="45">
        <f t="shared" si="61"/>
        <v>0</v>
      </c>
      <c r="Q183" s="45">
        <f t="shared" si="61"/>
        <v>0</v>
      </c>
      <c r="R183" s="45">
        <f t="shared" si="61"/>
        <v>0</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0</v>
      </c>
      <c r="H184" s="34">
        <f t="shared" si="62"/>
        <v>0</v>
      </c>
      <c r="I184" s="34">
        <f t="shared" si="62"/>
        <v>0</v>
      </c>
      <c r="J184" s="34">
        <f t="shared" si="62"/>
        <v>0</v>
      </c>
      <c r="K184" s="34">
        <f t="shared" si="62"/>
        <v>0</v>
      </c>
      <c r="L184" s="34">
        <f t="shared" si="62"/>
        <v>0</v>
      </c>
      <c r="M184" s="34">
        <f t="shared" si="62"/>
        <v>0</v>
      </c>
      <c r="N184" s="34">
        <f t="shared" si="62"/>
        <v>0</v>
      </c>
      <c r="O184" s="34">
        <f t="shared" si="62"/>
        <v>0</v>
      </c>
      <c r="P184" s="34">
        <f t="shared" si="62"/>
        <v>0</v>
      </c>
      <c r="Q184" s="34">
        <f t="shared" si="62"/>
        <v>0</v>
      </c>
      <c r="R184" s="34">
        <f t="shared" si="62"/>
        <v>0</v>
      </c>
      <c r="S184" s="34">
        <f t="shared" si="62"/>
        <v>0</v>
      </c>
      <c r="T184" s="34">
        <f t="shared" si="62"/>
        <v>0</v>
      </c>
      <c r="U184" s="34">
        <f t="shared" si="62"/>
        <v>0</v>
      </c>
      <c r="V184" s="34">
        <f t="shared" ref="V184:V192" si="63">SUMPRODUCT($G$117:$U$117,G184:U184)</f>
        <v>0</v>
      </c>
    </row>
    <row r="185" spans="2:25">
      <c r="B185" s="27" t="s">
        <v>628</v>
      </c>
      <c r="C185" s="33" t="s">
        <v>629</v>
      </c>
      <c r="D185" s="33" t="s">
        <v>359</v>
      </c>
      <c r="E185" s="33" t="s">
        <v>129</v>
      </c>
      <c r="F185" s="33"/>
      <c r="G185" s="34">
        <f t="shared" ref="G185:U185" si="64">IF($K$75="",0,G184*$K$83)</f>
        <v>0</v>
      </c>
      <c r="H185" s="34">
        <f t="shared" si="64"/>
        <v>0</v>
      </c>
      <c r="I185" s="34">
        <f t="shared" si="64"/>
        <v>0</v>
      </c>
      <c r="J185" s="34">
        <f t="shared" si="64"/>
        <v>0</v>
      </c>
      <c r="K185" s="34">
        <f t="shared" si="64"/>
        <v>0</v>
      </c>
      <c r="L185" s="34">
        <f t="shared" si="64"/>
        <v>0</v>
      </c>
      <c r="M185" s="34">
        <f t="shared" si="64"/>
        <v>0</v>
      </c>
      <c r="N185" s="34">
        <f t="shared" si="64"/>
        <v>0</v>
      </c>
      <c r="O185" s="34">
        <f t="shared" si="64"/>
        <v>0</v>
      </c>
      <c r="P185" s="34">
        <f t="shared" si="64"/>
        <v>0</v>
      </c>
      <c r="Q185" s="34">
        <f t="shared" si="64"/>
        <v>0</v>
      </c>
      <c r="R185" s="34">
        <f t="shared" si="64"/>
        <v>0</v>
      </c>
      <c r="S185" s="34">
        <f t="shared" si="64"/>
        <v>0</v>
      </c>
      <c r="T185" s="34">
        <f t="shared" si="64"/>
        <v>0</v>
      </c>
      <c r="U185" s="34">
        <f t="shared" si="64"/>
        <v>0</v>
      </c>
      <c r="V185" s="34">
        <f t="shared" si="63"/>
        <v>0</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0</v>
      </c>
      <c r="H192" s="34">
        <f t="shared" si="71"/>
        <v>0</v>
      </c>
      <c r="I192" s="34">
        <f t="shared" si="71"/>
        <v>0</v>
      </c>
      <c r="J192" s="34">
        <f t="shared" si="71"/>
        <v>0</v>
      </c>
      <c r="K192" s="34">
        <f t="shared" si="71"/>
        <v>0</v>
      </c>
      <c r="L192" s="34">
        <f t="shared" si="71"/>
        <v>0</v>
      </c>
      <c r="M192" s="34">
        <f t="shared" si="71"/>
        <v>0</v>
      </c>
      <c r="N192" s="34">
        <f t="shared" si="71"/>
        <v>0</v>
      </c>
      <c r="O192" s="34">
        <f t="shared" si="71"/>
        <v>0</v>
      </c>
      <c r="P192" s="34">
        <f t="shared" si="71"/>
        <v>0</v>
      </c>
      <c r="Q192" s="34">
        <f t="shared" si="71"/>
        <v>0</v>
      </c>
      <c r="R192" s="34">
        <f t="shared" si="71"/>
        <v>0</v>
      </c>
      <c r="S192" s="34">
        <f t="shared" si="71"/>
        <v>0</v>
      </c>
      <c r="T192" s="34">
        <f t="shared" si="71"/>
        <v>0</v>
      </c>
      <c r="U192" s="34">
        <f t="shared" si="71"/>
        <v>0</v>
      </c>
      <c r="V192" s="34">
        <f t="shared" si="63"/>
        <v>0</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4816.0727999999999</v>
      </c>
      <c r="H195" s="34">
        <f t="shared" si="73"/>
        <v>7243.901280000001</v>
      </c>
      <c r="I195" s="34">
        <f t="shared" si="73"/>
        <v>9632.1455999999998</v>
      </c>
      <c r="J195" s="34">
        <f t="shared" si="73"/>
        <v>12040.182000000003</v>
      </c>
      <c r="K195" s="34">
        <f t="shared" si="73"/>
        <v>12040.182000000003</v>
      </c>
      <c r="L195" s="34">
        <f t="shared" si="73"/>
        <v>12073.168800000001</v>
      </c>
      <c r="M195" s="34">
        <f t="shared" si="73"/>
        <v>12040.182000000003</v>
      </c>
      <c r="N195" s="34">
        <f t="shared" si="73"/>
        <v>12040.182000000003</v>
      </c>
      <c r="O195" s="34">
        <f t="shared" si="73"/>
        <v>12040.182000000003</v>
      </c>
      <c r="P195" s="34">
        <f t="shared" si="73"/>
        <v>12073.168800000001</v>
      </c>
      <c r="Q195" s="34">
        <f t="shared" si="73"/>
        <v>12040.182000000003</v>
      </c>
      <c r="R195" s="34">
        <f t="shared" si="73"/>
        <v>12040.182000000003</v>
      </c>
      <c r="S195" s="34">
        <f t="shared" si="73"/>
        <v>12040.182000000003</v>
      </c>
      <c r="T195" s="34">
        <f t="shared" si="73"/>
        <v>12073.168800000001</v>
      </c>
      <c r="U195" s="34">
        <f t="shared" si="73"/>
        <v>12040.182000000003</v>
      </c>
      <c r="V195" s="34">
        <f>SUMPRODUCT($G$117:$U$117,G195:U195)</f>
        <v>166273.26408000002</v>
      </c>
    </row>
    <row r="196" spans="2:25">
      <c r="B196" s="27" t="s">
        <v>628</v>
      </c>
      <c r="C196" s="33" t="s">
        <v>646</v>
      </c>
      <c r="D196" s="33" t="s">
        <v>359</v>
      </c>
      <c r="E196" s="33" t="s">
        <v>129</v>
      </c>
      <c r="F196" s="33"/>
      <c r="G196" s="34">
        <f t="shared" ref="G196:U196" si="74">G129+G143+G157+G171+G185</f>
        <v>3144.2075279999999</v>
      </c>
      <c r="H196" s="34">
        <f t="shared" si="74"/>
        <v>4729.2326928000011</v>
      </c>
      <c r="I196" s="34">
        <f t="shared" si="74"/>
        <v>6288.4150559999998</v>
      </c>
      <c r="J196" s="34">
        <f t="shared" si="74"/>
        <v>7860.5188200000021</v>
      </c>
      <c r="K196" s="34">
        <f t="shared" si="74"/>
        <v>7860.5188200000021</v>
      </c>
      <c r="L196" s="34">
        <f t="shared" si="74"/>
        <v>7882.0544880000016</v>
      </c>
      <c r="M196" s="34">
        <f t="shared" si="74"/>
        <v>7860.5188200000021</v>
      </c>
      <c r="N196" s="34">
        <f t="shared" si="74"/>
        <v>7860.5188200000021</v>
      </c>
      <c r="O196" s="34">
        <f t="shared" si="74"/>
        <v>7860.5188200000021</v>
      </c>
      <c r="P196" s="34">
        <f t="shared" si="74"/>
        <v>7882.0544880000016</v>
      </c>
      <c r="Q196" s="34">
        <f t="shared" si="74"/>
        <v>7860.5188200000021</v>
      </c>
      <c r="R196" s="34">
        <f t="shared" si="74"/>
        <v>7860.5188200000021</v>
      </c>
      <c r="S196" s="34">
        <f t="shared" si="74"/>
        <v>7860.5188200000021</v>
      </c>
      <c r="T196" s="34">
        <f t="shared" si="74"/>
        <v>7882.0544880000016</v>
      </c>
      <c r="U196" s="34">
        <f t="shared" si="74"/>
        <v>7860.5188200000021</v>
      </c>
      <c r="V196" s="34">
        <f>SUMPRODUCT($G$117:$U$117,G196:U196)</f>
        <v>108552.68812080001</v>
      </c>
    </row>
    <row r="197" spans="2:25">
      <c r="B197" s="27" t="s">
        <v>647</v>
      </c>
      <c r="C197" s="33" t="s">
        <v>648</v>
      </c>
      <c r="D197" s="33" t="s">
        <v>359</v>
      </c>
      <c r="E197" s="33" t="s">
        <v>133</v>
      </c>
      <c r="F197" s="33"/>
      <c r="G197" s="34">
        <f t="shared" ref="G197:U197" si="75">G196*(1-G$121)</f>
        <v>3080.0656944287998</v>
      </c>
      <c r="H197" s="34">
        <f t="shared" si="75"/>
        <v>4632.756345866881</v>
      </c>
      <c r="I197" s="34">
        <f t="shared" si="75"/>
        <v>6160.1313888575996</v>
      </c>
      <c r="J197" s="34">
        <f t="shared" si="75"/>
        <v>7700.1642360720025</v>
      </c>
      <c r="K197" s="34">
        <f t="shared" si="75"/>
        <v>7700.1642360720025</v>
      </c>
      <c r="L197" s="34">
        <f t="shared" si="75"/>
        <v>7721.2605764448017</v>
      </c>
      <c r="M197" s="34">
        <f t="shared" si="75"/>
        <v>7700.1642360720025</v>
      </c>
      <c r="N197" s="34">
        <f t="shared" si="75"/>
        <v>7700.1642360720025</v>
      </c>
      <c r="O197" s="34">
        <f t="shared" si="75"/>
        <v>7700.1642360720025</v>
      </c>
      <c r="P197" s="34">
        <f t="shared" si="75"/>
        <v>7721.2605764448017</v>
      </c>
      <c r="Q197" s="34">
        <f t="shared" si="75"/>
        <v>7700.1642360720025</v>
      </c>
      <c r="R197" s="34">
        <f t="shared" si="75"/>
        <v>7700.1642360720025</v>
      </c>
      <c r="S197" s="34">
        <f t="shared" si="75"/>
        <v>7700.1642360720025</v>
      </c>
      <c r="T197" s="34">
        <f t="shared" si="75"/>
        <v>7721.2605764448017</v>
      </c>
      <c r="U197" s="34">
        <f t="shared" si="75"/>
        <v>7700.1642360720025</v>
      </c>
      <c r="V197" s="34">
        <f>SUMPRODUCT($G$117:$U$117,G197:U197)</f>
        <v>106338.21328313569</v>
      </c>
    </row>
    <row r="198" spans="2:25">
      <c r="B198" s="27" t="s">
        <v>649</v>
      </c>
      <c r="C198" s="33" t="s">
        <v>650</v>
      </c>
      <c r="D198" s="33" t="s">
        <v>359</v>
      </c>
      <c r="E198" s="33" t="s">
        <v>137</v>
      </c>
      <c r="F198" s="33"/>
      <c r="G198" s="34">
        <f t="shared" ref="G198:U198" si="76">G196</f>
        <v>3144.2075279999999</v>
      </c>
      <c r="H198" s="34">
        <f t="shared" si="76"/>
        <v>4729.2326928000011</v>
      </c>
      <c r="I198" s="34">
        <f t="shared" si="76"/>
        <v>6288.4150559999998</v>
      </c>
      <c r="J198" s="34">
        <f t="shared" si="76"/>
        <v>7860.5188200000021</v>
      </c>
      <c r="K198" s="34">
        <f t="shared" si="76"/>
        <v>7860.5188200000021</v>
      </c>
      <c r="L198" s="34">
        <f t="shared" si="76"/>
        <v>7882.0544880000016</v>
      </c>
      <c r="M198" s="34">
        <f t="shared" si="76"/>
        <v>7860.5188200000021</v>
      </c>
      <c r="N198" s="34">
        <f t="shared" si="76"/>
        <v>7860.5188200000021</v>
      </c>
      <c r="O198" s="34">
        <f t="shared" si="76"/>
        <v>7860.5188200000021</v>
      </c>
      <c r="P198" s="34">
        <f t="shared" si="76"/>
        <v>7882.0544880000016</v>
      </c>
      <c r="Q198" s="34">
        <f t="shared" si="76"/>
        <v>7860.5188200000021</v>
      </c>
      <c r="R198" s="34">
        <f t="shared" si="76"/>
        <v>7860.5188200000021</v>
      </c>
      <c r="S198" s="34">
        <f t="shared" si="76"/>
        <v>7860.5188200000021</v>
      </c>
      <c r="T198" s="34">
        <f t="shared" si="76"/>
        <v>7882.0544880000016</v>
      </c>
      <c r="U198" s="34">
        <f t="shared" si="76"/>
        <v>7860.5188200000021</v>
      </c>
      <c r="V198" s="34">
        <f>SUMPRODUCT($G$117:$U$117,G198:U198)</f>
        <v>108552.68812080001</v>
      </c>
    </row>
    <row r="199" spans="2:25">
      <c r="B199" s="27" t="s">
        <v>651</v>
      </c>
      <c r="C199" s="33" t="s">
        <v>652</v>
      </c>
      <c r="D199" s="33" t="s">
        <v>359</v>
      </c>
      <c r="E199" s="33" t="s">
        <v>140</v>
      </c>
      <c r="F199" s="33"/>
      <c r="G199" s="34">
        <f t="shared" ref="G199:U199" si="77">MIN(G197,G198)</f>
        <v>3080.0656944287998</v>
      </c>
      <c r="H199" s="34">
        <f t="shared" si="77"/>
        <v>4632.756345866881</v>
      </c>
      <c r="I199" s="34">
        <f t="shared" si="77"/>
        <v>6160.1313888575996</v>
      </c>
      <c r="J199" s="34">
        <f t="shared" si="77"/>
        <v>7700.1642360720025</v>
      </c>
      <c r="K199" s="34">
        <f t="shared" si="77"/>
        <v>7700.1642360720025</v>
      </c>
      <c r="L199" s="34">
        <f t="shared" si="77"/>
        <v>7721.2605764448017</v>
      </c>
      <c r="M199" s="34">
        <f t="shared" si="77"/>
        <v>7700.1642360720025</v>
      </c>
      <c r="N199" s="34">
        <f t="shared" si="77"/>
        <v>7700.1642360720025</v>
      </c>
      <c r="O199" s="34">
        <f t="shared" si="77"/>
        <v>7700.1642360720025</v>
      </c>
      <c r="P199" s="34">
        <f t="shared" si="77"/>
        <v>7721.2605764448017</v>
      </c>
      <c r="Q199" s="34">
        <f t="shared" si="77"/>
        <v>7700.1642360720025</v>
      </c>
      <c r="R199" s="34">
        <f t="shared" si="77"/>
        <v>7700.1642360720025</v>
      </c>
      <c r="S199" s="34">
        <f t="shared" si="77"/>
        <v>7700.1642360720025</v>
      </c>
      <c r="T199" s="34">
        <f t="shared" si="77"/>
        <v>7721.2605764448017</v>
      </c>
      <c r="U199" s="34">
        <f t="shared" si="77"/>
        <v>7700.1642360720025</v>
      </c>
      <c r="V199" s="34">
        <f>SUMPRODUCT($G$117:$U$117,G199:U199)</f>
        <v>106338.21328313569</v>
      </c>
    </row>
    <row r="200" spans="2:25">
      <c r="B200" s="27" t="s">
        <v>221</v>
      </c>
      <c r="C200" s="33" t="s">
        <v>653</v>
      </c>
      <c r="D200" s="33" t="s">
        <v>398</v>
      </c>
      <c r="E200" s="33" t="s">
        <v>220</v>
      </c>
      <c r="F200" s="33"/>
      <c r="G200" s="40">
        <v>0.98</v>
      </c>
      <c r="H200" s="40">
        <v>0.97</v>
      </c>
      <c r="I200" s="40">
        <v>0.97</v>
      </c>
      <c r="J200" s="40">
        <v>0.97</v>
      </c>
      <c r="K200" s="40">
        <v>0.97</v>
      </c>
      <c r="L200" s="40">
        <v>0.97</v>
      </c>
      <c r="M200" s="40">
        <v>0.97</v>
      </c>
      <c r="N200" s="40">
        <v>0.97</v>
      </c>
      <c r="O200" s="40">
        <v>0.97</v>
      </c>
      <c r="P200" s="40">
        <v>0.97</v>
      </c>
      <c r="Q200" s="40">
        <v>0.97</v>
      </c>
      <c r="R200" s="40">
        <v>0.97</v>
      </c>
      <c r="S200" s="40">
        <v>0.97</v>
      </c>
      <c r="T200" s="40">
        <v>0.97</v>
      </c>
      <c r="U200" s="40">
        <v>0.97</v>
      </c>
      <c r="V200" s="33"/>
      <c r="Y200" s="50" t="s">
        <v>654</v>
      </c>
    </row>
    <row r="201" spans="2:25" ht="21">
      <c r="B201" s="27" t="s">
        <v>225</v>
      </c>
      <c r="C201" s="33" t="s">
        <v>655</v>
      </c>
      <c r="D201" s="33" t="s">
        <v>398</v>
      </c>
      <c r="E201" s="33" t="s">
        <v>224</v>
      </c>
      <c r="F201" s="33"/>
      <c r="G201" s="40">
        <v>0.88</v>
      </c>
      <c r="H201" s="40">
        <v>0.9</v>
      </c>
      <c r="I201" s="40">
        <v>0.92</v>
      </c>
      <c r="J201" s="40">
        <v>0.92</v>
      </c>
      <c r="K201" s="40">
        <v>0.92</v>
      </c>
      <c r="L201" s="40">
        <v>0.92</v>
      </c>
      <c r="M201" s="40">
        <v>0.92</v>
      </c>
      <c r="N201" s="40">
        <v>0.92</v>
      </c>
      <c r="O201" s="40">
        <v>0.92</v>
      </c>
      <c r="P201" s="40">
        <v>0.92</v>
      </c>
      <c r="Q201" s="40">
        <v>0.92</v>
      </c>
      <c r="R201" s="40">
        <v>0.92</v>
      </c>
      <c r="S201" s="40">
        <v>0.92</v>
      </c>
      <c r="T201" s="40">
        <v>0.92</v>
      </c>
      <c r="U201" s="40">
        <v>0.92</v>
      </c>
      <c r="V201" s="33"/>
      <c r="Y201" s="50" t="s">
        <v>656</v>
      </c>
    </row>
    <row r="202" spans="2:25">
      <c r="B202" s="30" t="s">
        <v>657</v>
      </c>
      <c r="C202" s="33" t="s">
        <v>658</v>
      </c>
      <c r="D202" s="33" t="s">
        <v>359</v>
      </c>
      <c r="E202" s="33" t="s">
        <v>143</v>
      </c>
      <c r="F202" s="33"/>
      <c r="G202" s="31">
        <f t="shared" ref="G202:U202" si="78">G199*N(G200)*N(G201)</f>
        <v>2656.2486548753968</v>
      </c>
      <c r="H202" s="31">
        <f t="shared" si="78"/>
        <v>4044.396289941787</v>
      </c>
      <c r="I202" s="31">
        <f t="shared" si="78"/>
        <v>5497.3012514165221</v>
      </c>
      <c r="J202" s="31">
        <f t="shared" si="78"/>
        <v>6871.6265642706558</v>
      </c>
      <c r="K202" s="31">
        <f t="shared" si="78"/>
        <v>6871.6265642706558</v>
      </c>
      <c r="L202" s="31">
        <f t="shared" si="78"/>
        <v>6890.4529384193411</v>
      </c>
      <c r="M202" s="31">
        <f t="shared" si="78"/>
        <v>6871.6265642706558</v>
      </c>
      <c r="N202" s="31">
        <f t="shared" si="78"/>
        <v>6871.6265642706558</v>
      </c>
      <c r="O202" s="31">
        <f t="shared" si="78"/>
        <v>6871.6265642706558</v>
      </c>
      <c r="P202" s="31">
        <f t="shared" si="78"/>
        <v>6890.4529384193411</v>
      </c>
      <c r="Q202" s="31">
        <f t="shared" si="78"/>
        <v>6871.6265642706558</v>
      </c>
      <c r="R202" s="31">
        <f t="shared" si="78"/>
        <v>6871.6265642706558</v>
      </c>
      <c r="S202" s="31">
        <f t="shared" si="78"/>
        <v>6871.6265642706558</v>
      </c>
      <c r="T202" s="31">
        <f t="shared" si="78"/>
        <v>6890.4529384193411</v>
      </c>
      <c r="U202" s="31">
        <f t="shared" si="78"/>
        <v>6871.6265642706558</v>
      </c>
      <c r="V202" s="31">
        <f>SUMPRODUCT($G$117:$U$117,G202:U202)</f>
        <v>94713.944089927638</v>
      </c>
    </row>
    <row r="203" spans="2:25" ht="22.5">
      <c r="B203" s="27" t="s">
        <v>659</v>
      </c>
      <c r="C203" s="33" t="s">
        <v>660</v>
      </c>
      <c r="D203" s="33" t="s">
        <v>359</v>
      </c>
      <c r="E203" s="33" t="s">
        <v>146</v>
      </c>
      <c r="F203" s="33"/>
      <c r="G203" s="34">
        <f t="shared" ref="G203:U203" si="79">G198-G199</f>
        <v>64.141833571200095</v>
      </c>
      <c r="H203" s="34">
        <f t="shared" si="79"/>
        <v>96.476346933120112</v>
      </c>
      <c r="I203" s="34">
        <f t="shared" si="79"/>
        <v>128.28366714240019</v>
      </c>
      <c r="J203" s="34">
        <f t="shared" si="79"/>
        <v>160.35458392799956</v>
      </c>
      <c r="K203" s="34">
        <f t="shared" si="79"/>
        <v>160.35458392799956</v>
      </c>
      <c r="L203" s="34">
        <f t="shared" si="79"/>
        <v>160.79391155519988</v>
      </c>
      <c r="M203" s="34">
        <f t="shared" si="79"/>
        <v>160.35458392799956</v>
      </c>
      <c r="N203" s="34">
        <f t="shared" si="79"/>
        <v>160.35458392799956</v>
      </c>
      <c r="O203" s="34">
        <f t="shared" si="79"/>
        <v>160.35458392799956</v>
      </c>
      <c r="P203" s="34">
        <f t="shared" si="79"/>
        <v>160.79391155519988</v>
      </c>
      <c r="Q203" s="34">
        <f t="shared" si="79"/>
        <v>160.35458392799956</v>
      </c>
      <c r="R203" s="34">
        <f t="shared" si="79"/>
        <v>160.35458392799956</v>
      </c>
      <c r="S203" s="34">
        <f t="shared" si="79"/>
        <v>160.35458392799956</v>
      </c>
      <c r="T203" s="34">
        <f t="shared" si="79"/>
        <v>160.79391155519988</v>
      </c>
      <c r="U203" s="34">
        <f t="shared" si="79"/>
        <v>160.35458392799956</v>
      </c>
      <c r="V203" s="34">
        <f>SUMPRODUCT($G$117:$U$117,G203:U203)</f>
        <v>2214.4748376643161</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300</v>
      </c>
      <c r="H206" s="68">
        <v>500</v>
      </c>
      <c r="I206" s="68">
        <v>650</v>
      </c>
      <c r="J206" s="68">
        <v>800</v>
      </c>
      <c r="K206" s="68">
        <v>800</v>
      </c>
      <c r="L206" s="68">
        <v>800</v>
      </c>
      <c r="M206" s="68">
        <v>800</v>
      </c>
      <c r="N206" s="68">
        <v>800</v>
      </c>
      <c r="O206" s="68">
        <v>800</v>
      </c>
      <c r="P206" s="68">
        <v>800</v>
      </c>
      <c r="Q206" s="68">
        <v>800</v>
      </c>
      <c r="R206" s="68">
        <v>800</v>
      </c>
      <c r="S206" s="68">
        <v>800</v>
      </c>
      <c r="T206" s="68">
        <v>800</v>
      </c>
      <c r="U206" s="68">
        <v>800</v>
      </c>
      <c r="V206" s="43">
        <f t="shared" ref="V206:V217" si="81">SUMPRODUCT($G$117:$U$117,G206:U206)</f>
        <v>11050</v>
      </c>
      <c r="Y206" s="50" t="s">
        <v>664</v>
      </c>
    </row>
    <row r="207" spans="2:25" ht="21">
      <c r="B207" s="27" t="s">
        <v>665</v>
      </c>
      <c r="C207" s="33" t="s">
        <v>666</v>
      </c>
      <c r="D207" s="33" t="s">
        <v>359</v>
      </c>
      <c r="E207" s="33" t="s">
        <v>667</v>
      </c>
      <c r="F207" s="33"/>
      <c r="G207" s="34">
        <f t="shared" ref="G207:U207" si="82">G$117*N(G206)*$F$47</f>
        <v>216</v>
      </c>
      <c r="H207" s="34">
        <f t="shared" si="82"/>
        <v>360</v>
      </c>
      <c r="I207" s="34">
        <f t="shared" si="82"/>
        <v>468</v>
      </c>
      <c r="J207" s="34">
        <f t="shared" si="82"/>
        <v>576</v>
      </c>
      <c r="K207" s="34">
        <f t="shared" si="82"/>
        <v>576</v>
      </c>
      <c r="L207" s="34">
        <f t="shared" si="82"/>
        <v>576</v>
      </c>
      <c r="M207" s="34">
        <f t="shared" si="82"/>
        <v>576</v>
      </c>
      <c r="N207" s="34">
        <f t="shared" si="82"/>
        <v>576</v>
      </c>
      <c r="O207" s="34">
        <f t="shared" si="82"/>
        <v>576</v>
      </c>
      <c r="P207" s="34">
        <f t="shared" si="82"/>
        <v>576</v>
      </c>
      <c r="Q207" s="34">
        <f t="shared" si="82"/>
        <v>576</v>
      </c>
      <c r="R207" s="34">
        <f t="shared" si="82"/>
        <v>576</v>
      </c>
      <c r="S207" s="34">
        <f t="shared" si="82"/>
        <v>576</v>
      </c>
      <c r="T207" s="34">
        <f t="shared" si="82"/>
        <v>576</v>
      </c>
      <c r="U207" s="34">
        <f t="shared" si="82"/>
        <v>576</v>
      </c>
      <c r="V207" s="34">
        <f t="shared" si="81"/>
        <v>7956</v>
      </c>
    </row>
    <row r="208" spans="2:25">
      <c r="B208" s="27" t="s">
        <v>668</v>
      </c>
      <c r="C208" s="33"/>
      <c r="D208" s="33" t="s">
        <v>669</v>
      </c>
      <c r="E208" s="33" t="s">
        <v>155</v>
      </c>
      <c r="F208" s="33"/>
      <c r="G208" s="63">
        <v>30000</v>
      </c>
      <c r="H208" s="63">
        <v>30000</v>
      </c>
      <c r="I208" s="63">
        <v>30000</v>
      </c>
      <c r="J208" s="63">
        <v>30000</v>
      </c>
      <c r="K208" s="63">
        <v>30000</v>
      </c>
      <c r="L208" s="63">
        <v>30000</v>
      </c>
      <c r="M208" s="63">
        <v>30000</v>
      </c>
      <c r="N208" s="63">
        <v>30000</v>
      </c>
      <c r="O208" s="63">
        <v>30000</v>
      </c>
      <c r="P208" s="63">
        <v>30000</v>
      </c>
      <c r="Q208" s="63">
        <v>30000</v>
      </c>
      <c r="R208" s="63">
        <v>30000</v>
      </c>
      <c r="S208" s="63">
        <v>30000</v>
      </c>
      <c r="T208" s="63">
        <v>30000</v>
      </c>
      <c r="U208" s="63">
        <v>30000</v>
      </c>
      <c r="V208" s="67">
        <f t="shared" si="81"/>
        <v>450000</v>
      </c>
    </row>
    <row r="209" spans="2:25">
      <c r="B209" s="27" t="s">
        <v>670</v>
      </c>
      <c r="C209" s="33" t="s">
        <v>671</v>
      </c>
      <c r="D209" s="33" t="s">
        <v>359</v>
      </c>
      <c r="E209" s="33" t="s">
        <v>672</v>
      </c>
      <c r="F209" s="33"/>
      <c r="G209" s="34">
        <f t="shared" ref="G209:U209" si="83">G$117*N(G208)*$F$49/1000</f>
        <v>82.104593999999992</v>
      </c>
      <c r="H209" s="34">
        <f t="shared" si="83"/>
        <v>82.104593999999992</v>
      </c>
      <c r="I209" s="34">
        <f t="shared" si="83"/>
        <v>82.104593999999992</v>
      </c>
      <c r="J209" s="34">
        <f t="shared" si="83"/>
        <v>82.104593999999992</v>
      </c>
      <c r="K209" s="34">
        <f t="shared" si="83"/>
        <v>82.104593999999992</v>
      </c>
      <c r="L209" s="34">
        <f t="shared" si="83"/>
        <v>82.104593999999992</v>
      </c>
      <c r="M209" s="34">
        <f t="shared" si="83"/>
        <v>82.104593999999992</v>
      </c>
      <c r="N209" s="34">
        <f t="shared" si="83"/>
        <v>82.104593999999992</v>
      </c>
      <c r="O209" s="34">
        <f t="shared" si="83"/>
        <v>82.104593999999992</v>
      </c>
      <c r="P209" s="34">
        <f t="shared" si="83"/>
        <v>82.104593999999992</v>
      </c>
      <c r="Q209" s="34">
        <f t="shared" si="83"/>
        <v>82.104593999999992</v>
      </c>
      <c r="R209" s="34">
        <f t="shared" si="83"/>
        <v>82.104593999999992</v>
      </c>
      <c r="S209" s="34">
        <f t="shared" si="83"/>
        <v>82.104593999999992</v>
      </c>
      <c r="T209" s="34">
        <f t="shared" si="83"/>
        <v>82.104593999999992</v>
      </c>
      <c r="U209" s="34">
        <f t="shared" si="83"/>
        <v>82.104593999999992</v>
      </c>
      <c r="V209" s="34">
        <f t="shared" si="81"/>
        <v>1231.56891</v>
      </c>
    </row>
    <row r="210" spans="2:25">
      <c r="B210" s="27" t="s">
        <v>673</v>
      </c>
      <c r="C210" s="33" t="s">
        <v>674</v>
      </c>
      <c r="D210" s="33" t="s">
        <v>359</v>
      </c>
      <c r="E210" s="33" t="s">
        <v>153</v>
      </c>
      <c r="F210" s="33"/>
      <c r="G210" s="34">
        <f t="shared" ref="G210:U210" si="84">G207+G209</f>
        <v>298.10459400000002</v>
      </c>
      <c r="H210" s="34">
        <f t="shared" si="84"/>
        <v>442.10459400000002</v>
      </c>
      <c r="I210" s="34">
        <f t="shared" si="84"/>
        <v>550.10459400000002</v>
      </c>
      <c r="J210" s="34">
        <f t="shared" si="84"/>
        <v>658.10459400000002</v>
      </c>
      <c r="K210" s="34">
        <f t="shared" si="84"/>
        <v>658.10459400000002</v>
      </c>
      <c r="L210" s="34">
        <f t="shared" si="84"/>
        <v>658.10459400000002</v>
      </c>
      <c r="M210" s="34">
        <f t="shared" si="84"/>
        <v>658.10459400000002</v>
      </c>
      <c r="N210" s="34">
        <f t="shared" si="84"/>
        <v>658.10459400000002</v>
      </c>
      <c r="O210" s="34">
        <f t="shared" si="84"/>
        <v>658.10459400000002</v>
      </c>
      <c r="P210" s="34">
        <f t="shared" si="84"/>
        <v>658.10459400000002</v>
      </c>
      <c r="Q210" s="34">
        <f t="shared" si="84"/>
        <v>658.10459400000002</v>
      </c>
      <c r="R210" s="34">
        <f t="shared" si="84"/>
        <v>658.10459400000002</v>
      </c>
      <c r="S210" s="34">
        <f t="shared" si="84"/>
        <v>658.10459400000002</v>
      </c>
      <c r="T210" s="34">
        <f t="shared" si="84"/>
        <v>658.10459400000002</v>
      </c>
      <c r="U210" s="34">
        <f t="shared" si="84"/>
        <v>658.10459400000002</v>
      </c>
      <c r="V210" s="34">
        <f t="shared" si="81"/>
        <v>9187.5689100000018</v>
      </c>
    </row>
    <row r="211" spans="2:25">
      <c r="B211" s="27" t="s">
        <v>675</v>
      </c>
      <c r="C211" s="33"/>
      <c r="D211" s="33" t="s">
        <v>669</v>
      </c>
      <c r="E211" s="33" t="s">
        <v>456</v>
      </c>
      <c r="F211" s="33"/>
      <c r="G211" s="63">
        <v>30938</v>
      </c>
      <c r="H211" s="63">
        <v>46406</v>
      </c>
      <c r="I211" s="63">
        <v>61875</v>
      </c>
      <c r="J211" s="63">
        <v>77344</v>
      </c>
      <c r="K211" s="63">
        <v>77344</v>
      </c>
      <c r="L211" s="63">
        <v>77344</v>
      </c>
      <c r="M211" s="63">
        <v>77344</v>
      </c>
      <c r="N211" s="63">
        <v>77344</v>
      </c>
      <c r="O211" s="63">
        <v>77344</v>
      </c>
      <c r="P211" s="63">
        <v>77344</v>
      </c>
      <c r="Q211" s="63">
        <v>77344</v>
      </c>
      <c r="R211" s="63">
        <v>77344</v>
      </c>
      <c r="S211" s="63">
        <v>77344</v>
      </c>
      <c r="T211" s="63">
        <v>77344</v>
      </c>
      <c r="U211" s="63">
        <v>77344</v>
      </c>
      <c r="V211" s="67">
        <f t="shared" si="81"/>
        <v>1067347</v>
      </c>
      <c r="Y211" s="50" t="s">
        <v>770</v>
      </c>
    </row>
    <row r="212" spans="2:25" ht="21">
      <c r="B212" s="27" t="s">
        <v>676</v>
      </c>
      <c r="C212" s="33" t="s">
        <v>677</v>
      </c>
      <c r="D212" s="33" t="s">
        <v>359</v>
      </c>
      <c r="E212" s="33" t="s">
        <v>678</v>
      </c>
      <c r="F212" s="33"/>
      <c r="G212" s="34">
        <f t="shared" ref="G212:U212" si="85">IF($F$50="Manual, or electric on 100% RE",0,G$117*N(G211)*$F$52/1000)</f>
        <v>84.671730972399999</v>
      </c>
      <c r="H212" s="34">
        <f t="shared" si="85"/>
        <v>127.00485963879999</v>
      </c>
      <c r="I212" s="34">
        <f t="shared" si="85"/>
        <v>169.34072512499998</v>
      </c>
      <c r="J212" s="34">
        <f t="shared" si="85"/>
        <v>211.67659061119997</v>
      </c>
      <c r="K212" s="34">
        <f t="shared" si="85"/>
        <v>211.67659061119997</v>
      </c>
      <c r="L212" s="34">
        <f t="shared" si="85"/>
        <v>211.67659061119997</v>
      </c>
      <c r="M212" s="34">
        <f t="shared" si="85"/>
        <v>211.67659061119997</v>
      </c>
      <c r="N212" s="34">
        <f t="shared" si="85"/>
        <v>211.67659061119997</v>
      </c>
      <c r="O212" s="34">
        <f t="shared" si="85"/>
        <v>211.67659061119997</v>
      </c>
      <c r="P212" s="34">
        <f t="shared" si="85"/>
        <v>211.67659061119997</v>
      </c>
      <c r="Q212" s="34">
        <f t="shared" si="85"/>
        <v>211.67659061119997</v>
      </c>
      <c r="R212" s="34">
        <f t="shared" si="85"/>
        <v>211.67659061119997</v>
      </c>
      <c r="S212" s="34">
        <f t="shared" si="85"/>
        <v>211.67659061119997</v>
      </c>
      <c r="T212" s="34">
        <f t="shared" si="85"/>
        <v>211.67659061119997</v>
      </c>
      <c r="U212" s="34">
        <f t="shared" si="85"/>
        <v>211.67659061119997</v>
      </c>
      <c r="V212" s="34">
        <f t="shared" si="81"/>
        <v>2921.1364030706</v>
      </c>
    </row>
    <row r="213" spans="2:25">
      <c r="B213" s="27" t="s">
        <v>679</v>
      </c>
      <c r="C213" s="33" t="s">
        <v>680</v>
      </c>
      <c r="D213" s="33" t="s">
        <v>359</v>
      </c>
      <c r="E213" s="33" t="s">
        <v>681</v>
      </c>
      <c r="F213" s="33"/>
      <c r="G213" s="69">
        <v>0</v>
      </c>
      <c r="H213" s="69">
        <v>0</v>
      </c>
      <c r="I213" s="69">
        <v>0</v>
      </c>
      <c r="J213" s="69">
        <v>0</v>
      </c>
      <c r="K213" s="69">
        <v>0</v>
      </c>
      <c r="L213" s="69">
        <v>0</v>
      </c>
      <c r="M213" s="69">
        <v>0</v>
      </c>
      <c r="N213" s="69">
        <v>0</v>
      </c>
      <c r="O213" s="69">
        <v>0</v>
      </c>
      <c r="P213" s="69">
        <v>0</v>
      </c>
      <c r="Q213" s="69">
        <v>0</v>
      </c>
      <c r="R213" s="69">
        <v>0</v>
      </c>
      <c r="S213" s="69">
        <v>0</v>
      </c>
      <c r="T213" s="69">
        <v>0</v>
      </c>
      <c r="U213" s="69">
        <v>0</v>
      </c>
      <c r="V213" s="34">
        <f t="shared" si="81"/>
        <v>0</v>
      </c>
      <c r="Y213" s="50" t="s">
        <v>771</v>
      </c>
    </row>
    <row r="214" spans="2:25" ht="42">
      <c r="B214" s="27" t="s">
        <v>683</v>
      </c>
      <c r="C214" s="33" t="s">
        <v>684</v>
      </c>
      <c r="D214" s="33" t="s">
        <v>359</v>
      </c>
      <c r="E214" s="33" t="s">
        <v>685</v>
      </c>
      <c r="F214" s="33"/>
      <c r="G214" s="69">
        <v>12.6</v>
      </c>
      <c r="H214" s="69">
        <v>18.899999999999999</v>
      </c>
      <c r="I214" s="69">
        <v>25.2</v>
      </c>
      <c r="J214" s="69">
        <v>31.5</v>
      </c>
      <c r="K214" s="69">
        <v>31.5</v>
      </c>
      <c r="L214" s="69">
        <v>31.5</v>
      </c>
      <c r="M214" s="69">
        <v>31.5</v>
      </c>
      <c r="N214" s="69">
        <v>31.5</v>
      </c>
      <c r="O214" s="69">
        <v>31.5</v>
      </c>
      <c r="P214" s="69">
        <v>31.5</v>
      </c>
      <c r="Q214" s="69">
        <v>31.5</v>
      </c>
      <c r="R214" s="69">
        <v>31.5</v>
      </c>
      <c r="S214" s="69">
        <v>31.5</v>
      </c>
      <c r="T214" s="69">
        <v>31.5</v>
      </c>
      <c r="U214" s="69">
        <v>31.5</v>
      </c>
      <c r="V214" s="34">
        <f t="shared" si="81"/>
        <v>434.7</v>
      </c>
      <c r="Y214" s="50" t="s">
        <v>772</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0</v>
      </c>
      <c r="H215" s="34">
        <f t="shared" si="86"/>
        <v>0</v>
      </c>
      <c r="I215" s="34">
        <f t="shared" si="86"/>
        <v>0</v>
      </c>
      <c r="J215" s="34">
        <f t="shared" si="86"/>
        <v>0</v>
      </c>
      <c r="K215" s="34">
        <f t="shared" si="86"/>
        <v>0</v>
      </c>
      <c r="L215" s="34">
        <f t="shared" si="86"/>
        <v>0</v>
      </c>
      <c r="M215" s="34">
        <f t="shared" si="86"/>
        <v>0</v>
      </c>
      <c r="N215" s="34">
        <f t="shared" si="86"/>
        <v>0</v>
      </c>
      <c r="O215" s="34">
        <f t="shared" si="86"/>
        <v>0</v>
      </c>
      <c r="P215" s="34">
        <f t="shared" si="86"/>
        <v>0</v>
      </c>
      <c r="Q215" s="34">
        <f t="shared" si="86"/>
        <v>0</v>
      </c>
      <c r="R215" s="34">
        <f t="shared" si="86"/>
        <v>0</v>
      </c>
      <c r="S215" s="34">
        <f t="shared" si="86"/>
        <v>0</v>
      </c>
      <c r="T215" s="34">
        <f t="shared" si="86"/>
        <v>0</v>
      </c>
      <c r="U215" s="34">
        <f t="shared" si="86"/>
        <v>0</v>
      </c>
      <c r="V215" s="34">
        <f t="shared" si="81"/>
        <v>0</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0</v>
      </c>
      <c r="H216" s="34">
        <f t="shared" si="87"/>
        <v>0</v>
      </c>
      <c r="I216" s="34">
        <f t="shared" si="87"/>
        <v>0</v>
      </c>
      <c r="J216" s="34">
        <f t="shared" si="87"/>
        <v>0</v>
      </c>
      <c r="K216" s="34">
        <f t="shared" si="87"/>
        <v>0</v>
      </c>
      <c r="L216" s="34">
        <f t="shared" si="87"/>
        <v>0</v>
      </c>
      <c r="M216" s="34">
        <f t="shared" si="87"/>
        <v>0</v>
      </c>
      <c r="N216" s="34">
        <f t="shared" si="87"/>
        <v>0</v>
      </c>
      <c r="O216" s="34">
        <f t="shared" si="87"/>
        <v>0</v>
      </c>
      <c r="P216" s="34">
        <f t="shared" si="87"/>
        <v>0</v>
      </c>
      <c r="Q216" s="34">
        <f t="shared" si="87"/>
        <v>0</v>
      </c>
      <c r="R216" s="34">
        <f t="shared" si="87"/>
        <v>0</v>
      </c>
      <c r="S216" s="34">
        <f t="shared" si="87"/>
        <v>0</v>
      </c>
      <c r="T216" s="34">
        <f t="shared" si="87"/>
        <v>0</v>
      </c>
      <c r="U216" s="34">
        <f t="shared" si="87"/>
        <v>0</v>
      </c>
      <c r="V216" s="34">
        <f t="shared" si="81"/>
        <v>0</v>
      </c>
    </row>
    <row r="217" spans="2:25">
      <c r="B217" s="27" t="s">
        <v>692</v>
      </c>
      <c r="C217" s="33"/>
      <c r="D217" s="33" t="s">
        <v>693</v>
      </c>
      <c r="E217" s="33" t="s">
        <v>257</v>
      </c>
      <c r="F217" s="33"/>
      <c r="G217" s="63">
        <v>0</v>
      </c>
      <c r="H217" s="63">
        <v>0</v>
      </c>
      <c r="I217" s="63">
        <v>0</v>
      </c>
      <c r="J217" s="63">
        <v>0</v>
      </c>
      <c r="K217" s="63">
        <v>0</v>
      </c>
      <c r="L217" s="63">
        <v>0</v>
      </c>
      <c r="M217" s="63">
        <v>0</v>
      </c>
      <c r="N217" s="63">
        <v>0</v>
      </c>
      <c r="O217" s="63">
        <v>0</v>
      </c>
      <c r="P217" s="63">
        <v>0</v>
      </c>
      <c r="Q217" s="63">
        <v>0</v>
      </c>
      <c r="R217" s="63">
        <v>0</v>
      </c>
      <c r="S217" s="63">
        <v>0</v>
      </c>
      <c r="T217" s="63">
        <v>0</v>
      </c>
      <c r="U217" s="63">
        <v>0</v>
      </c>
      <c r="V217" s="67">
        <f t="shared" si="81"/>
        <v>0</v>
      </c>
      <c r="Y217" s="50" t="s">
        <v>694</v>
      </c>
    </row>
    <row r="218" spans="2:25" ht="22.5">
      <c r="B218" s="27" t="s">
        <v>695</v>
      </c>
      <c r="C218" s="33"/>
      <c r="D218" s="33" t="s">
        <v>696</v>
      </c>
      <c r="E218" s="33" t="s">
        <v>257</v>
      </c>
      <c r="F218" s="33"/>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33"/>
    </row>
    <row r="219" spans="2:25">
      <c r="B219" s="27" t="s">
        <v>697</v>
      </c>
      <c r="C219" s="33"/>
      <c r="D219" s="33" t="s">
        <v>359</v>
      </c>
      <c r="E219" s="33" t="s">
        <v>156</v>
      </c>
      <c r="F219" s="33"/>
      <c r="G219" s="34">
        <f t="shared" ref="G219:U219" si="88">G$117*N(G217)*N(G218)*$F$25*$F$55*$F$30/1000</f>
        <v>0</v>
      </c>
      <c r="H219" s="34">
        <f t="shared" si="88"/>
        <v>0</v>
      </c>
      <c r="I219" s="34">
        <f t="shared" si="88"/>
        <v>0</v>
      </c>
      <c r="J219" s="34">
        <f t="shared" si="88"/>
        <v>0</v>
      </c>
      <c r="K219" s="34">
        <f t="shared" si="88"/>
        <v>0</v>
      </c>
      <c r="L219" s="34">
        <f t="shared" si="88"/>
        <v>0</v>
      </c>
      <c r="M219" s="34">
        <f t="shared" si="88"/>
        <v>0</v>
      </c>
      <c r="N219" s="34">
        <f t="shared" si="88"/>
        <v>0</v>
      </c>
      <c r="O219" s="34">
        <f t="shared" si="88"/>
        <v>0</v>
      </c>
      <c r="P219" s="34">
        <f t="shared" si="88"/>
        <v>0</v>
      </c>
      <c r="Q219" s="34">
        <f t="shared" si="88"/>
        <v>0</v>
      </c>
      <c r="R219" s="34">
        <f t="shared" si="88"/>
        <v>0</v>
      </c>
      <c r="S219" s="34">
        <f t="shared" si="88"/>
        <v>0</v>
      </c>
      <c r="T219" s="34">
        <f t="shared" si="88"/>
        <v>0</v>
      </c>
      <c r="U219" s="34">
        <f t="shared" si="88"/>
        <v>0</v>
      </c>
      <c r="V219" s="34">
        <f>SUMPRODUCT($G$117:$U$117,G219:U219)</f>
        <v>0</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0</v>
      </c>
      <c r="H221" s="34">
        <f t="shared" si="89"/>
        <v>0</v>
      </c>
      <c r="I221" s="34">
        <f t="shared" si="89"/>
        <v>0</v>
      </c>
      <c r="J221" s="34">
        <f t="shared" si="89"/>
        <v>0</v>
      </c>
      <c r="K221" s="34">
        <f t="shared" si="89"/>
        <v>0</v>
      </c>
      <c r="L221" s="34">
        <f t="shared" si="89"/>
        <v>0</v>
      </c>
      <c r="M221" s="34">
        <f t="shared" si="89"/>
        <v>0</v>
      </c>
      <c r="N221" s="34">
        <f t="shared" si="89"/>
        <v>0</v>
      </c>
      <c r="O221" s="34">
        <f t="shared" si="89"/>
        <v>0</v>
      </c>
      <c r="P221" s="34">
        <f t="shared" si="89"/>
        <v>0</v>
      </c>
      <c r="Q221" s="34">
        <f t="shared" si="89"/>
        <v>0</v>
      </c>
      <c r="R221" s="34">
        <f t="shared" si="89"/>
        <v>0</v>
      </c>
      <c r="S221" s="34">
        <f t="shared" si="89"/>
        <v>0</v>
      </c>
      <c r="T221" s="34">
        <f t="shared" si="89"/>
        <v>0</v>
      </c>
      <c r="U221" s="34">
        <f t="shared" si="89"/>
        <v>0</v>
      </c>
      <c r="V221" s="34">
        <f>SUMPRODUCT($G$117:$U$117,G221:U221)</f>
        <v>0</v>
      </c>
    </row>
    <row r="222" spans="2:25">
      <c r="B222" s="30" t="s">
        <v>701</v>
      </c>
      <c r="C222" s="33" t="s">
        <v>702</v>
      </c>
      <c r="D222" s="33" t="s">
        <v>359</v>
      </c>
      <c r="E222" s="33" t="s">
        <v>149</v>
      </c>
      <c r="F222" s="33"/>
      <c r="G222" s="31">
        <f t="shared" ref="G222:U222" si="90">G210+G212+G$117*(N(G213)+N(G214))+G215+G216+G221</f>
        <v>395.37632497240003</v>
      </c>
      <c r="H222" s="31">
        <f t="shared" si="90"/>
        <v>588.00945363879998</v>
      </c>
      <c r="I222" s="31">
        <f t="shared" si="90"/>
        <v>744.64531912500001</v>
      </c>
      <c r="J222" s="31">
        <f t="shared" si="90"/>
        <v>901.28118461119993</v>
      </c>
      <c r="K222" s="31">
        <f t="shared" si="90"/>
        <v>901.28118461119993</v>
      </c>
      <c r="L222" s="31">
        <f t="shared" si="90"/>
        <v>901.28118461119993</v>
      </c>
      <c r="M222" s="31">
        <f t="shared" si="90"/>
        <v>901.28118461119993</v>
      </c>
      <c r="N222" s="31">
        <f t="shared" si="90"/>
        <v>901.28118461119993</v>
      </c>
      <c r="O222" s="31">
        <f t="shared" si="90"/>
        <v>901.28118461119993</v>
      </c>
      <c r="P222" s="31">
        <f t="shared" si="90"/>
        <v>901.28118461119993</v>
      </c>
      <c r="Q222" s="31">
        <f t="shared" si="90"/>
        <v>901.28118461119993</v>
      </c>
      <c r="R222" s="31">
        <f t="shared" si="90"/>
        <v>901.28118461119993</v>
      </c>
      <c r="S222" s="31">
        <f t="shared" si="90"/>
        <v>901.28118461119993</v>
      </c>
      <c r="T222" s="31">
        <f t="shared" si="90"/>
        <v>901.28118461119993</v>
      </c>
      <c r="U222" s="31">
        <f t="shared" si="90"/>
        <v>901.28118461119993</v>
      </c>
      <c r="V222" s="31">
        <f>SUMPRODUCT($G$117:$U$117,G222:U222)</f>
        <v>12543.4053130706</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Anaerobic digesters (reinforced concrete)</v>
      </c>
      <c r="C225" s="33" t="str">
        <f>IF($G$101="","",$G$101)</f>
        <v>Tier 3</v>
      </c>
      <c r="D225" s="33" t="s">
        <v>359</v>
      </c>
      <c r="E225" s="33" t="s">
        <v>174</v>
      </c>
      <c r="F225" s="33"/>
      <c r="G225" s="34">
        <f t="shared" ref="G225:U225" si="92">IF(OR(G$117=0,$G$101="",N($G$107)=0),0,IF($G$101="Tier 1",IF(AND(G$114&gt;=$G$108,IF(N($G$109)&gt;0,MOD(G$114-$G$108,$G$109)=0,G$114=$G$108)),$G$107,0),$G$107/($G$110*365)*MAX(0,MIN(G$119+1,$G$111+$G$110*365)-MAX(G$118,$G$111))))</f>
        <v>108</v>
      </c>
      <c r="H225" s="34">
        <f t="shared" si="92"/>
        <v>108.2958904109589</v>
      </c>
      <c r="I225" s="34">
        <f t="shared" si="92"/>
        <v>108</v>
      </c>
      <c r="J225" s="34">
        <f t="shared" si="92"/>
        <v>108</v>
      </c>
      <c r="K225" s="34">
        <f t="shared" si="92"/>
        <v>107.7041095890411</v>
      </c>
      <c r="L225" s="34">
        <f t="shared" si="92"/>
        <v>0</v>
      </c>
      <c r="M225" s="34">
        <f t="shared" si="92"/>
        <v>0</v>
      </c>
      <c r="N225" s="34">
        <f t="shared" si="92"/>
        <v>0</v>
      </c>
      <c r="O225" s="34">
        <f t="shared" si="92"/>
        <v>0</v>
      </c>
      <c r="P225" s="34">
        <f t="shared" si="92"/>
        <v>0</v>
      </c>
      <c r="Q225" s="34">
        <f t="shared" si="92"/>
        <v>0</v>
      </c>
      <c r="R225" s="34">
        <f t="shared" si="92"/>
        <v>0</v>
      </c>
      <c r="S225" s="34">
        <f t="shared" si="92"/>
        <v>0</v>
      </c>
      <c r="T225" s="34">
        <f t="shared" si="92"/>
        <v>0</v>
      </c>
      <c r="U225" s="34">
        <f t="shared" si="92"/>
        <v>0</v>
      </c>
      <c r="V225" s="34">
        <f t="shared" ref="V225:V240" si="93">SUMPRODUCT($G$117:$U$117,G225:U225)</f>
        <v>540</v>
      </c>
      <c r="W225" s="34">
        <f t="shared" ref="W225:W232" si="94">IF($F$44&gt;0,SUMPRODUCT(($G$114:$U$114&lt;=$F$44)*(G225:U225)),0)</f>
        <v>0</v>
      </c>
      <c r="X225" s="34">
        <f>IF(AND($F$44&gt;0,$G$101&lt;&gt;"",$G$101&lt;&gt;"Tier 1",N($G$108)&lt;=$F$44),$G$107-W225,0)</f>
        <v>0</v>
      </c>
    </row>
    <row r="226" spans="2:25">
      <c r="B226" s="27" t="str">
        <f>"Item 2: "&amp;IF($H$100="","not used",$H$100)</f>
        <v>Item 2: Gas holders and steelwork</v>
      </c>
      <c r="C226" s="33" t="str">
        <f>IF($H$101="","",$H$101)</f>
        <v>Tier 3</v>
      </c>
      <c r="D226" s="33" t="s">
        <v>359</v>
      </c>
      <c r="E226" s="33" t="s">
        <v>174</v>
      </c>
      <c r="F226" s="33"/>
      <c r="G226" s="34">
        <f t="shared" ref="G226:U226" si="95">IF(OR(G$117=0,$H$101="",N($H$107)=0),0,IF($H$101="Tier 1",IF(AND(G$114&gt;=$H$108,IF(N($H$109)&gt;0,MOD(G$114-$H$108,$H$109)=0,G$114=$H$108)),$H$107,0),$H$107/($H$110*365)*MAX(0,MIN(G$119+1,$H$111+$H$110*365)-MAX(G$118,$H$111))))</f>
        <v>64</v>
      </c>
      <c r="H226" s="34">
        <f t="shared" si="95"/>
        <v>64.175342465753431</v>
      </c>
      <c r="I226" s="34">
        <f t="shared" si="95"/>
        <v>64</v>
      </c>
      <c r="J226" s="34">
        <f t="shared" si="95"/>
        <v>64</v>
      </c>
      <c r="K226" s="34">
        <f t="shared" si="95"/>
        <v>63.824657534246576</v>
      </c>
      <c r="L226" s="34">
        <f t="shared" si="95"/>
        <v>0</v>
      </c>
      <c r="M226" s="34">
        <f t="shared" si="95"/>
        <v>0</v>
      </c>
      <c r="N226" s="34">
        <f t="shared" si="95"/>
        <v>0</v>
      </c>
      <c r="O226" s="34">
        <f t="shared" si="95"/>
        <v>0</v>
      </c>
      <c r="P226" s="34">
        <f t="shared" si="95"/>
        <v>0</v>
      </c>
      <c r="Q226" s="34">
        <f t="shared" si="95"/>
        <v>0</v>
      </c>
      <c r="R226" s="34">
        <f t="shared" si="95"/>
        <v>0</v>
      </c>
      <c r="S226" s="34">
        <f t="shared" si="95"/>
        <v>0</v>
      </c>
      <c r="T226" s="34">
        <f t="shared" si="95"/>
        <v>0</v>
      </c>
      <c r="U226" s="34">
        <f t="shared" si="95"/>
        <v>0</v>
      </c>
      <c r="V226" s="34">
        <f t="shared" si="93"/>
        <v>320</v>
      </c>
      <c r="W226" s="34">
        <f t="shared" si="94"/>
        <v>0</v>
      </c>
      <c r="X226" s="34">
        <f>IF(AND($F$44&gt;0,$H$101&lt;&gt;"",$H$101&lt;&gt;"Tier 1",N($H$108)&lt;=$F$44),$H$107-W226,0)</f>
        <v>0</v>
      </c>
    </row>
    <row r="227" spans="2:25">
      <c r="B227" s="27" t="str">
        <f>"Item 3: "&amp;IF($I$100="","not used",$I$100)</f>
        <v>Item 3: Vacuum trucks, initial fleet</v>
      </c>
      <c r="C227" s="33" t="str">
        <f>IF($I$101="","",$I$101)</f>
        <v>Tier 3</v>
      </c>
      <c r="D227" s="33" t="s">
        <v>359</v>
      </c>
      <c r="E227" s="33" t="s">
        <v>174</v>
      </c>
      <c r="F227" s="33"/>
      <c r="G227" s="34">
        <f t="shared" ref="G227:U227" si="96">IF(OR(G$117=0,$I$101="",N($I$107)=0),0,IF($I$101="Tier 1",IF(AND(G$114&gt;=$I$108,IF(N($I$109)&gt;0,MOD(G$114-$I$108,$I$109)=0,G$114=$I$108)),$I$107,0),$I$107/($I$110*365)*MAX(0,MIN(G$119+1,$I$111+$I$110*365)-MAX(G$118,$I$111))))</f>
        <v>28.8</v>
      </c>
      <c r="H227" s="34">
        <f t="shared" si="96"/>
        <v>28.87890410958904</v>
      </c>
      <c r="I227" s="34">
        <f t="shared" si="96"/>
        <v>28.8</v>
      </c>
      <c r="J227" s="34">
        <f t="shared" si="96"/>
        <v>28.8</v>
      </c>
      <c r="K227" s="34">
        <f t="shared" si="96"/>
        <v>28.721095890410957</v>
      </c>
      <c r="L227" s="34">
        <f t="shared" si="96"/>
        <v>0</v>
      </c>
      <c r="M227" s="34">
        <f t="shared" si="96"/>
        <v>0</v>
      </c>
      <c r="N227" s="34">
        <f t="shared" si="96"/>
        <v>0</v>
      </c>
      <c r="O227" s="34">
        <f t="shared" si="96"/>
        <v>0</v>
      </c>
      <c r="P227" s="34">
        <f t="shared" si="96"/>
        <v>0</v>
      </c>
      <c r="Q227" s="34">
        <f t="shared" si="96"/>
        <v>0</v>
      </c>
      <c r="R227" s="34">
        <f t="shared" si="96"/>
        <v>0</v>
      </c>
      <c r="S227" s="34">
        <f t="shared" si="96"/>
        <v>0</v>
      </c>
      <c r="T227" s="34">
        <f t="shared" si="96"/>
        <v>0</v>
      </c>
      <c r="U227" s="34">
        <f t="shared" si="96"/>
        <v>0</v>
      </c>
      <c r="V227" s="34">
        <f t="shared" si="93"/>
        <v>144</v>
      </c>
      <c r="W227" s="34">
        <f t="shared" si="94"/>
        <v>0</v>
      </c>
      <c r="X227" s="34">
        <f>IF(AND($F$44&gt;0,$I$101&lt;&gt;"",$I$101&lt;&gt;"Tier 1",N($I$108)&lt;=$F$44),$I$107-W227,0)</f>
        <v>0</v>
      </c>
    </row>
    <row r="228" spans="2:25">
      <c r="B228" s="27" t="str">
        <f>"Item 4: "&amp;IF($J$100="","not used",$J$100)</f>
        <v>Item 4: Vacuum trucks, added</v>
      </c>
      <c r="C228" s="33" t="str">
        <f>IF($J$101="","",$J$101)</f>
        <v>Tier 3</v>
      </c>
      <c r="D228" s="33" t="s">
        <v>359</v>
      </c>
      <c r="E228" s="33" t="s">
        <v>174</v>
      </c>
      <c r="F228" s="33"/>
      <c r="G228" s="34">
        <f t="shared" ref="G228:U228" si="97">IF(OR(G$117=0,$J$101="",N($J$107)=0),0,IF($J$101="Tier 1",IF(AND(G$114&gt;=$J$108,IF(N($J$109)&gt;0,MOD(G$114-$J$108,$J$109)=0,G$114=$J$108)),$J$107,0),$J$107/($J$110*365)*MAX(0,MIN(G$119+1,$J$111+$J$110*365)-MAX(G$118,$J$111))))</f>
        <v>0</v>
      </c>
      <c r="H228" s="34">
        <f t="shared" si="97"/>
        <v>0</v>
      </c>
      <c r="I228" s="34">
        <f t="shared" si="97"/>
        <v>14.4</v>
      </c>
      <c r="J228" s="34">
        <f t="shared" si="97"/>
        <v>14.4</v>
      </c>
      <c r="K228" s="34">
        <f t="shared" si="97"/>
        <v>14.4</v>
      </c>
      <c r="L228" s="34">
        <f t="shared" si="97"/>
        <v>14.43945205479452</v>
      </c>
      <c r="M228" s="34">
        <f t="shared" si="97"/>
        <v>14.360547945205479</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72</v>
      </c>
      <c r="W228" s="34">
        <f t="shared" si="94"/>
        <v>0</v>
      </c>
      <c r="X228" s="34">
        <f>IF(AND($F$44&gt;0,$J$101&lt;&gt;"",$J$101&lt;&gt;"Tier 1",N($J$108)&lt;=$F$44),$J$107-W228,0)</f>
        <v>0</v>
      </c>
    </row>
    <row r="229" spans="2:25">
      <c r="B229" s="27" t="str">
        <f>"Item 5: "&amp;IF($K$100="","not used",$K$100)</f>
        <v>Item 5: Vacuum trucks, replacement fleet</v>
      </c>
      <c r="C229" s="33" t="str">
        <f>IF($K$101="","",$K$101)</f>
        <v>Tier 3</v>
      </c>
      <c r="D229" s="33" t="s">
        <v>359</v>
      </c>
      <c r="E229" s="33" t="s">
        <v>174</v>
      </c>
      <c r="F229" s="33"/>
      <c r="G229" s="34">
        <f t="shared" ref="G229:U229" si="98">IF(OR(G$117=0,$K$101="",N($K$107)=0),0,IF($K$101="Tier 1",IF(AND(G$114&gt;=$K$108,IF(N($K$109)&gt;0,MOD(G$114-$K$108,$K$109)=0,G$114=$K$108)),$K$107,0),$K$107/($K$110*365)*MAX(0,MIN(G$119+1,$K$111+$K$110*365)-MAX(G$118,$K$111))))</f>
        <v>0</v>
      </c>
      <c r="H229" s="34">
        <f t="shared" si="98"/>
        <v>0</v>
      </c>
      <c r="I229" s="34">
        <f t="shared" si="98"/>
        <v>0</v>
      </c>
      <c r="J229" s="34">
        <f t="shared" si="98"/>
        <v>0</v>
      </c>
      <c r="K229" s="34">
        <f t="shared" si="98"/>
        <v>0</v>
      </c>
      <c r="L229" s="34">
        <f t="shared" si="98"/>
        <v>0</v>
      </c>
      <c r="M229" s="34">
        <f t="shared" si="98"/>
        <v>0</v>
      </c>
      <c r="N229" s="34">
        <f t="shared" si="98"/>
        <v>0</v>
      </c>
      <c r="O229" s="34">
        <f t="shared" si="98"/>
        <v>43.199999999999996</v>
      </c>
      <c r="P229" s="34">
        <f t="shared" si="98"/>
        <v>43.318356164383559</v>
      </c>
      <c r="Q229" s="34">
        <f t="shared" si="98"/>
        <v>43.199999999999996</v>
      </c>
      <c r="R229" s="34">
        <f t="shared" si="98"/>
        <v>43.199999999999996</v>
      </c>
      <c r="S229" s="34">
        <f t="shared" si="98"/>
        <v>43.08164383561644</v>
      </c>
      <c r="T229" s="34">
        <f t="shared" si="98"/>
        <v>0</v>
      </c>
      <c r="U229" s="34">
        <f t="shared" si="98"/>
        <v>0</v>
      </c>
      <c r="V229" s="34">
        <f t="shared" si="93"/>
        <v>215.99999999999997</v>
      </c>
      <c r="W229" s="34">
        <f t="shared" si="94"/>
        <v>0</v>
      </c>
      <c r="X229" s="34">
        <f>IF(AND($F$44&gt;0,$K$101&lt;&gt;"",$K$101&lt;&gt;"Tier 1",N($K$108)&lt;=$F$44),$K$107-W229,0)</f>
        <v>0</v>
      </c>
    </row>
    <row r="230" spans="2:25">
      <c r="B230" s="27" t="str">
        <f>"Item 6: "&amp;IF($L$100="","not used",$L$100)</f>
        <v>Item 6: Plant pipework (HDPE)</v>
      </c>
      <c r="C230" s="33" t="str">
        <f>IF($L$101="","",$L$101)</f>
        <v>Tier 3</v>
      </c>
      <c r="D230" s="33" t="s">
        <v>359</v>
      </c>
      <c r="E230" s="33" t="s">
        <v>174</v>
      </c>
      <c r="F230" s="33"/>
      <c r="G230" s="34">
        <f t="shared" ref="G230:U230" si="99">IF(OR(G$117=0,$L$101="",N($L$107)=0),0,IF($L$101="Tier 1",IF(AND(G$114&gt;=$L$108,IF(N($L$109)&gt;0,MOD(G$114-$L$108,$L$109)=0,G$114=$L$108)),$L$107,0),$L$107/($L$110*365)*MAX(0,MIN(G$119+1,$L$111+$L$110*365)-MAX(G$118,$L$111))))</f>
        <v>10</v>
      </c>
      <c r="H230" s="34">
        <f t="shared" si="99"/>
        <v>10.027397260273972</v>
      </c>
      <c r="I230" s="34">
        <f t="shared" si="99"/>
        <v>10</v>
      </c>
      <c r="J230" s="34">
        <f t="shared" si="99"/>
        <v>10</v>
      </c>
      <c r="K230" s="34">
        <f t="shared" si="99"/>
        <v>9.9726027397260264</v>
      </c>
      <c r="L230" s="34">
        <f t="shared" si="99"/>
        <v>0</v>
      </c>
      <c r="M230" s="34">
        <f t="shared" si="99"/>
        <v>0</v>
      </c>
      <c r="N230" s="34">
        <f t="shared" si="99"/>
        <v>0</v>
      </c>
      <c r="O230" s="34">
        <f t="shared" si="99"/>
        <v>0</v>
      </c>
      <c r="P230" s="34">
        <f t="shared" si="99"/>
        <v>0</v>
      </c>
      <c r="Q230" s="34">
        <f t="shared" si="99"/>
        <v>0</v>
      </c>
      <c r="R230" s="34">
        <f t="shared" si="99"/>
        <v>0</v>
      </c>
      <c r="S230" s="34">
        <f t="shared" si="99"/>
        <v>0</v>
      </c>
      <c r="T230" s="34">
        <f t="shared" si="99"/>
        <v>0</v>
      </c>
      <c r="U230" s="34">
        <f t="shared" si="99"/>
        <v>0</v>
      </c>
      <c r="V230" s="34">
        <f t="shared" si="93"/>
        <v>50</v>
      </c>
      <c r="W230" s="34">
        <f t="shared" si="94"/>
        <v>0</v>
      </c>
      <c r="X230" s="34">
        <f>IF(AND($F$44&gt;0,$L$101&lt;&gt;"",$L$101&lt;&gt;"Tier 1",N($L$108)&lt;=$F$44),$L$107-W230,0)</f>
        <v>0</v>
      </c>
    </row>
    <row r="231" spans="2:25">
      <c r="B231" s="27" t="str">
        <f>"Item 7: "&amp;IF($M$100="","not used",$M$100)</f>
        <v>Item 7: not used</v>
      </c>
      <c r="C231" s="33" t="str">
        <f>IF($M$101="","",$M$101)</f>
        <v/>
      </c>
      <c r="D231" s="33" t="s">
        <v>359</v>
      </c>
      <c r="E231" s="33" t="s">
        <v>174</v>
      </c>
      <c r="F231" s="33"/>
      <c r="G231" s="34">
        <f t="shared" ref="G231:U231" si="100">IF(OR(G$117=0,$M$101="",N($M$107)=0),0,IF($M$101="Tier 1",IF(AND(G$114&gt;=$M$108,IF(N($M$109)&gt;0,MOD(G$114-$M$108,$M$109)=0,G$114=$M$108)),$M$107,0),$M$107/($M$110*365)*MAX(0,MIN(G$119+1,$M$111+$M$110*365)-MAX(G$118,$M$111))))</f>
        <v>0</v>
      </c>
      <c r="H231" s="34">
        <f t="shared" si="100"/>
        <v>0</v>
      </c>
      <c r="I231" s="34">
        <f t="shared" si="100"/>
        <v>0</v>
      </c>
      <c r="J231" s="34">
        <f t="shared" si="100"/>
        <v>0</v>
      </c>
      <c r="K231" s="34">
        <f t="shared" si="100"/>
        <v>0</v>
      </c>
      <c r="L231" s="34">
        <f t="shared" si="100"/>
        <v>0</v>
      </c>
      <c r="M231" s="34">
        <f t="shared" si="100"/>
        <v>0</v>
      </c>
      <c r="N231" s="34">
        <f t="shared" si="100"/>
        <v>0</v>
      </c>
      <c r="O231" s="34">
        <f t="shared" si="100"/>
        <v>0</v>
      </c>
      <c r="P231" s="34">
        <f t="shared" si="100"/>
        <v>0</v>
      </c>
      <c r="Q231" s="34">
        <f t="shared" si="100"/>
        <v>0</v>
      </c>
      <c r="R231" s="34">
        <f t="shared" si="100"/>
        <v>0</v>
      </c>
      <c r="S231" s="34">
        <f t="shared" si="100"/>
        <v>0</v>
      </c>
      <c r="T231" s="34">
        <f t="shared" si="100"/>
        <v>0</v>
      </c>
      <c r="U231" s="34">
        <f t="shared" si="100"/>
        <v>0</v>
      </c>
      <c r="V231" s="34">
        <f t="shared" si="93"/>
        <v>0</v>
      </c>
      <c r="W231" s="34">
        <f t="shared" si="94"/>
        <v>0</v>
      </c>
      <c r="X231" s="34">
        <f>IF(AND($F$44&gt;0,$M$101&lt;&gt;"",$M$101&lt;&gt;"Tier 1",N($M$108)&lt;=$F$44),$M$107-W231,0)</f>
        <v>0</v>
      </c>
    </row>
    <row r="232" spans="2:25">
      <c r="B232" s="27" t="str">
        <f>"Item 8: "&amp;IF($N$100="","not used",$N$100)</f>
        <v>Item 8: not used</v>
      </c>
      <c r="C232" s="33" t="str">
        <f>IF($N$101="","",$N$101)</f>
        <v/>
      </c>
      <c r="D232" s="33" t="s">
        <v>359</v>
      </c>
      <c r="E232" s="33" t="s">
        <v>174</v>
      </c>
      <c r="F232" s="33"/>
      <c r="G232" s="34">
        <f t="shared" ref="G232:U232" si="101">IF(OR(G$117=0,$N$101="",N($N$107)=0),0,IF($N$101="Tier 1",IF(AND(G$114&gt;=$N$108,IF(N($N$109)&gt;0,MOD(G$114-$N$108,$N$109)=0,G$114=$N$108)),$N$107,0),$N$107/($N$110*365)*MAX(0,MIN(G$119+1,$N$111+$N$110*365)-MAX(G$118,$N$111))))</f>
        <v>0</v>
      </c>
      <c r="H232" s="34">
        <f t="shared" si="101"/>
        <v>0</v>
      </c>
      <c r="I232" s="34">
        <f t="shared" si="101"/>
        <v>0</v>
      </c>
      <c r="J232" s="34">
        <f t="shared" si="101"/>
        <v>0</v>
      </c>
      <c r="K232" s="34">
        <f t="shared" si="101"/>
        <v>0</v>
      </c>
      <c r="L232" s="34">
        <f t="shared" si="101"/>
        <v>0</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0</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210.8</v>
      </c>
      <c r="H233" s="34">
        <f t="shared" si="102"/>
        <v>211.37753424657535</v>
      </c>
      <c r="I233" s="34">
        <f t="shared" si="102"/>
        <v>225.20000000000002</v>
      </c>
      <c r="J233" s="34">
        <f t="shared" si="102"/>
        <v>225.20000000000002</v>
      </c>
      <c r="K233" s="34">
        <f t="shared" si="102"/>
        <v>224.62246575342468</v>
      </c>
      <c r="L233" s="34">
        <f t="shared" si="102"/>
        <v>14.43945205479452</v>
      </c>
      <c r="M233" s="34">
        <f t="shared" si="102"/>
        <v>14.360547945205479</v>
      </c>
      <c r="N233" s="34">
        <f t="shared" si="102"/>
        <v>0</v>
      </c>
      <c r="O233" s="34">
        <f t="shared" si="102"/>
        <v>43.199999999999996</v>
      </c>
      <c r="P233" s="34">
        <f t="shared" si="102"/>
        <v>43.318356164383559</v>
      </c>
      <c r="Q233" s="34">
        <f t="shared" si="102"/>
        <v>43.199999999999996</v>
      </c>
      <c r="R233" s="34">
        <f t="shared" si="102"/>
        <v>43.199999999999996</v>
      </c>
      <c r="S233" s="34">
        <f t="shared" si="102"/>
        <v>43.08164383561644</v>
      </c>
      <c r="T233" s="34">
        <f t="shared" si="102"/>
        <v>0</v>
      </c>
      <c r="U233" s="34">
        <f t="shared" si="102"/>
        <v>0</v>
      </c>
      <c r="V233" s="34">
        <f t="shared" si="93"/>
        <v>1342.0000000000005</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453.37494714285702</v>
      </c>
      <c r="H237" s="34">
        <f t="shared" si="104"/>
        <v>681.92560542857132</v>
      </c>
      <c r="I237" s="34">
        <f t="shared" si="104"/>
        <v>906.74989428571405</v>
      </c>
      <c r="J237" s="34">
        <f t="shared" si="104"/>
        <v>1133.4373678571428</v>
      </c>
      <c r="K237" s="34">
        <f t="shared" si="104"/>
        <v>1133.4373678571428</v>
      </c>
      <c r="L237" s="34">
        <f t="shared" si="104"/>
        <v>1136.5426757142855</v>
      </c>
      <c r="M237" s="34">
        <f t="shared" si="104"/>
        <v>1133.4373678571428</v>
      </c>
      <c r="N237" s="34">
        <f t="shared" si="104"/>
        <v>1133.4373678571428</v>
      </c>
      <c r="O237" s="34">
        <f t="shared" si="104"/>
        <v>1133.4373678571428</v>
      </c>
      <c r="P237" s="34">
        <f t="shared" si="104"/>
        <v>1136.5426757142855</v>
      </c>
      <c r="Q237" s="34">
        <f t="shared" si="104"/>
        <v>1133.4373678571428</v>
      </c>
      <c r="R237" s="34">
        <f t="shared" si="104"/>
        <v>1133.4373678571428</v>
      </c>
      <c r="S237" s="34">
        <f t="shared" si="104"/>
        <v>1133.4373678571428</v>
      </c>
      <c r="T237" s="34">
        <f t="shared" si="104"/>
        <v>1136.5426757142855</v>
      </c>
      <c r="U237" s="34">
        <f t="shared" si="104"/>
        <v>1133.4373678571428</v>
      </c>
      <c r="V237" s="34">
        <f t="shared" si="93"/>
        <v>15652.614784714284</v>
      </c>
    </row>
    <row r="238" spans="2:25" ht="21">
      <c r="B238" s="27" t="s">
        <v>638</v>
      </c>
      <c r="C238" s="33"/>
      <c r="D238" s="33" t="s">
        <v>359</v>
      </c>
      <c r="E238" s="33" t="s">
        <v>639</v>
      </c>
      <c r="F238" s="33"/>
      <c r="G238" s="34">
        <f t="shared" ref="G238:U238" si="105">G134+G148+G162+G176+G190</f>
        <v>181.34997885714284</v>
      </c>
      <c r="H238" s="34">
        <f t="shared" si="105"/>
        <v>272.77024217142861</v>
      </c>
      <c r="I238" s="34">
        <f t="shared" si="105"/>
        <v>362.69995771428569</v>
      </c>
      <c r="J238" s="34">
        <f t="shared" si="105"/>
        <v>453.3749471428572</v>
      </c>
      <c r="K238" s="34">
        <f t="shared" si="105"/>
        <v>453.3749471428572</v>
      </c>
      <c r="L238" s="34">
        <f t="shared" si="105"/>
        <v>454.61707028571431</v>
      </c>
      <c r="M238" s="34">
        <f t="shared" si="105"/>
        <v>453.3749471428572</v>
      </c>
      <c r="N238" s="34">
        <f t="shared" si="105"/>
        <v>453.3749471428572</v>
      </c>
      <c r="O238" s="34">
        <f t="shared" si="105"/>
        <v>453.3749471428572</v>
      </c>
      <c r="P238" s="34">
        <f t="shared" si="105"/>
        <v>454.61707028571431</v>
      </c>
      <c r="Q238" s="34">
        <f t="shared" si="105"/>
        <v>453.3749471428572</v>
      </c>
      <c r="R238" s="34">
        <f t="shared" si="105"/>
        <v>453.3749471428572</v>
      </c>
      <c r="S238" s="34">
        <f t="shared" si="105"/>
        <v>453.3749471428572</v>
      </c>
      <c r="T238" s="34">
        <f t="shared" si="105"/>
        <v>454.61707028571431</v>
      </c>
      <c r="U238" s="34">
        <f t="shared" si="105"/>
        <v>453.3749471428572</v>
      </c>
      <c r="V238" s="34">
        <f t="shared" si="93"/>
        <v>6261.0459138857159</v>
      </c>
    </row>
    <row r="239" spans="2:25">
      <c r="B239" s="27" t="s">
        <v>715</v>
      </c>
      <c r="C239" s="33" t="s">
        <v>716</v>
      </c>
      <c r="D239" s="33" t="s">
        <v>359</v>
      </c>
      <c r="E239" s="33" t="s">
        <v>466</v>
      </c>
      <c r="F239" s="33"/>
      <c r="G239" s="34">
        <f t="shared" ref="G239:U239" si="106">G$117*N(G236)+G237+G238</f>
        <v>634.72492599999987</v>
      </c>
      <c r="H239" s="34">
        <f t="shared" si="106"/>
        <v>954.69584759999998</v>
      </c>
      <c r="I239" s="34">
        <f t="shared" si="106"/>
        <v>1269.4498519999997</v>
      </c>
      <c r="J239" s="34">
        <f t="shared" si="106"/>
        <v>1586.8123150000001</v>
      </c>
      <c r="K239" s="34">
        <f t="shared" si="106"/>
        <v>1586.8123150000001</v>
      </c>
      <c r="L239" s="34">
        <f t="shared" si="106"/>
        <v>1591.1597459999998</v>
      </c>
      <c r="M239" s="34">
        <f t="shared" si="106"/>
        <v>1586.8123150000001</v>
      </c>
      <c r="N239" s="34">
        <f t="shared" si="106"/>
        <v>1586.8123150000001</v>
      </c>
      <c r="O239" s="34">
        <f t="shared" si="106"/>
        <v>1586.8123150000001</v>
      </c>
      <c r="P239" s="34">
        <f t="shared" si="106"/>
        <v>1591.1597459999998</v>
      </c>
      <c r="Q239" s="34">
        <f t="shared" si="106"/>
        <v>1586.8123150000001</v>
      </c>
      <c r="R239" s="34">
        <f t="shared" si="106"/>
        <v>1586.8123150000001</v>
      </c>
      <c r="S239" s="34">
        <f t="shared" si="106"/>
        <v>1586.8123150000001</v>
      </c>
      <c r="T239" s="34">
        <f t="shared" si="106"/>
        <v>1591.1597459999998</v>
      </c>
      <c r="U239" s="34">
        <f t="shared" si="106"/>
        <v>1586.8123150000001</v>
      </c>
      <c r="V239" s="34">
        <f t="shared" si="93"/>
        <v>21913.660698599997</v>
      </c>
    </row>
    <row r="240" spans="2:25">
      <c r="B240" s="30" t="s">
        <v>717</v>
      </c>
      <c r="C240" s="33" t="s">
        <v>718</v>
      </c>
      <c r="D240" s="33" t="s">
        <v>359</v>
      </c>
      <c r="E240" s="33" t="s">
        <v>170</v>
      </c>
      <c r="F240" s="33"/>
      <c r="G240" s="31">
        <f t="shared" ref="G240:U240" si="107">G233+G234+G$117*N(G235)+G239</f>
        <v>845.52492599999982</v>
      </c>
      <c r="H240" s="31">
        <f t="shared" si="107"/>
        <v>1166.0733818465753</v>
      </c>
      <c r="I240" s="31">
        <f t="shared" si="107"/>
        <v>1494.6498519999998</v>
      </c>
      <c r="J240" s="31">
        <f t="shared" si="107"/>
        <v>1812.0123150000002</v>
      </c>
      <c r="K240" s="31">
        <f t="shared" si="107"/>
        <v>1811.4347807534248</v>
      </c>
      <c r="L240" s="31">
        <f t="shared" si="107"/>
        <v>1605.5991980547944</v>
      </c>
      <c r="M240" s="31">
        <f t="shared" si="107"/>
        <v>1601.1728629452057</v>
      </c>
      <c r="N240" s="31">
        <f t="shared" si="107"/>
        <v>1586.8123150000001</v>
      </c>
      <c r="O240" s="31">
        <f t="shared" si="107"/>
        <v>1630.0123150000002</v>
      </c>
      <c r="P240" s="31">
        <f t="shared" si="107"/>
        <v>1634.4781021643835</v>
      </c>
      <c r="Q240" s="31">
        <f t="shared" si="107"/>
        <v>1630.0123150000002</v>
      </c>
      <c r="R240" s="31">
        <f t="shared" si="107"/>
        <v>1630.0123150000002</v>
      </c>
      <c r="S240" s="31">
        <f t="shared" si="107"/>
        <v>1629.8939588356166</v>
      </c>
      <c r="T240" s="31">
        <f t="shared" si="107"/>
        <v>1591.1597459999998</v>
      </c>
      <c r="U240" s="31">
        <f t="shared" si="107"/>
        <v>1586.8123150000001</v>
      </c>
      <c r="V240" s="31">
        <f t="shared" si="93"/>
        <v>23255.660698600001</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1415.3474039029968</v>
      </c>
      <c r="H243" s="34">
        <f t="shared" si="109"/>
        <v>2290.3134544564118</v>
      </c>
      <c r="I243" s="34">
        <f t="shared" si="109"/>
        <v>3258.0060802915223</v>
      </c>
      <c r="J243" s="34">
        <f t="shared" si="109"/>
        <v>4158.3330646594559</v>
      </c>
      <c r="K243" s="34">
        <f t="shared" si="109"/>
        <v>4158.9105989060308</v>
      </c>
      <c r="L243" s="34">
        <f t="shared" si="109"/>
        <v>4383.5725557533469</v>
      </c>
      <c r="M243" s="34">
        <f t="shared" si="109"/>
        <v>4369.1725167142504</v>
      </c>
      <c r="N243" s="34">
        <f t="shared" si="109"/>
        <v>4383.5330646594557</v>
      </c>
      <c r="O243" s="34">
        <f t="shared" si="109"/>
        <v>4340.3330646594559</v>
      </c>
      <c r="P243" s="34">
        <f t="shared" si="109"/>
        <v>4354.6936516437581</v>
      </c>
      <c r="Q243" s="34">
        <f t="shared" si="109"/>
        <v>4340.3330646594559</v>
      </c>
      <c r="R243" s="34">
        <f t="shared" si="109"/>
        <v>4340.3330646594559</v>
      </c>
      <c r="S243" s="34">
        <f t="shared" si="109"/>
        <v>4340.4514208238397</v>
      </c>
      <c r="T243" s="34">
        <f t="shared" si="109"/>
        <v>4398.0120078081418</v>
      </c>
      <c r="U243" s="34">
        <f t="shared" si="109"/>
        <v>4383.5330646594557</v>
      </c>
      <c r="V243" s="34">
        <f>SUMPRODUCT($G$117:$U$117,G243:U243)</f>
        <v>58914.878078257025</v>
      </c>
    </row>
    <row r="244" spans="2:25">
      <c r="B244" s="30" t="s">
        <v>721</v>
      </c>
      <c r="C244" s="33"/>
      <c r="D244" s="33" t="s">
        <v>359</v>
      </c>
      <c r="E244" s="33" t="s">
        <v>722</v>
      </c>
      <c r="F244" s="33"/>
      <c r="G244" s="31">
        <f t="shared" ref="G244:U244" si="110">IF(G$117=1,MAX(0,G243),0)</f>
        <v>1415.3474039029968</v>
      </c>
      <c r="H244" s="31">
        <f t="shared" si="110"/>
        <v>2290.3134544564118</v>
      </c>
      <c r="I244" s="31">
        <f t="shared" si="110"/>
        <v>3258.0060802915223</v>
      </c>
      <c r="J244" s="31">
        <f t="shared" si="110"/>
        <v>4158.3330646594559</v>
      </c>
      <c r="K244" s="31">
        <f t="shared" si="110"/>
        <v>4158.9105989060308</v>
      </c>
      <c r="L244" s="31">
        <f t="shared" si="110"/>
        <v>4383.5725557533469</v>
      </c>
      <c r="M244" s="31">
        <f t="shared" si="110"/>
        <v>4369.1725167142504</v>
      </c>
      <c r="N244" s="31">
        <f t="shared" si="110"/>
        <v>4383.5330646594557</v>
      </c>
      <c r="O244" s="31">
        <f t="shared" si="110"/>
        <v>4340.3330646594559</v>
      </c>
      <c r="P244" s="31">
        <f t="shared" si="110"/>
        <v>4354.6936516437581</v>
      </c>
      <c r="Q244" s="31">
        <f t="shared" si="110"/>
        <v>4340.3330646594559</v>
      </c>
      <c r="R244" s="31">
        <f t="shared" si="110"/>
        <v>4340.3330646594559</v>
      </c>
      <c r="S244" s="31">
        <f t="shared" si="110"/>
        <v>4340.4514208238397</v>
      </c>
      <c r="T244" s="31">
        <f t="shared" si="110"/>
        <v>4398.0120078081418</v>
      </c>
      <c r="U244" s="31">
        <f t="shared" si="110"/>
        <v>4383.5330646594557</v>
      </c>
      <c r="V244" s="31">
        <f>SUMPRODUCT($G$117:$U$117,G244:U244)</f>
        <v>58914.878078257025</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1415.3474039029968</v>
      </c>
      <c r="H246" s="34">
        <f>SUM($G244:H244)</f>
        <v>3705.6608583594088</v>
      </c>
      <c r="I246" s="34">
        <f>SUM($G244:I244)</f>
        <v>6963.6669386509311</v>
      </c>
      <c r="J246" s="34">
        <f>SUM($G244:J244)</f>
        <v>11122.000003310386</v>
      </c>
      <c r="K246" s="34">
        <f>SUM($G244:K244)</f>
        <v>15280.910602216416</v>
      </c>
      <c r="L246" s="34">
        <f>SUM($G244:L244)</f>
        <v>19664.483157969764</v>
      </c>
      <c r="M246" s="34">
        <f>SUM($G244:M244)</f>
        <v>24033.655674684014</v>
      </c>
      <c r="N246" s="34">
        <f>SUM($G244:N244)</f>
        <v>28417.18873934347</v>
      </c>
      <c r="O246" s="34">
        <f>SUM($G244:O244)</f>
        <v>32757.521804002925</v>
      </c>
      <c r="P246" s="34">
        <f>SUM($G244:P244)</f>
        <v>37112.215455646685</v>
      </c>
      <c r="Q246" s="34">
        <f>SUM($G244:Q244)</f>
        <v>41452.54852030614</v>
      </c>
      <c r="R246" s="34">
        <f>SUM($G244:R244)</f>
        <v>45792.881584965595</v>
      </c>
      <c r="S246" s="34">
        <f>SUM($G244:S244)</f>
        <v>50133.333005789435</v>
      </c>
      <c r="T246" s="34">
        <f>SUM($G244:T244)</f>
        <v>54531.345013597573</v>
      </c>
      <c r="U246" s="34">
        <f>SUM($G244:U244)</f>
        <v>58914.878078257025</v>
      </c>
      <c r="V246" s="33"/>
    </row>
    <row r="248" spans="2:25" ht="20.100000000000001" customHeight="1">
      <c r="B248" s="20" t="s">
        <v>725</v>
      </c>
      <c r="C248" s="20"/>
      <c r="D248" s="20"/>
      <c r="E248" s="20"/>
      <c r="F248" s="20"/>
    </row>
    <row r="249" spans="2:25">
      <c r="B249" s="27" t="s">
        <v>726</v>
      </c>
      <c r="C249" s="33"/>
      <c r="D249" s="33" t="s">
        <v>359</v>
      </c>
      <c r="E249" s="33"/>
      <c r="F249" s="31">
        <f>SUMPRODUCT(($G$116:$U$116=1)*($G$244:$U$244))</f>
        <v>15280.910602216416</v>
      </c>
    </row>
    <row r="250" spans="2:25">
      <c r="B250" s="27" t="s">
        <v>727</v>
      </c>
      <c r="C250" s="33"/>
      <c r="D250" s="33" t="s">
        <v>359</v>
      </c>
      <c r="E250" s="33"/>
      <c r="F250" s="31">
        <f>SUMPRODUCT(($G$116:$U$116=2)*($G$244:$U$244))</f>
        <v>21831.304853430265</v>
      </c>
    </row>
    <row r="251" spans="2:25">
      <c r="B251" s="27" t="s">
        <v>728</v>
      </c>
      <c r="C251" s="33"/>
      <c r="D251" s="33" t="s">
        <v>359</v>
      </c>
      <c r="E251" s="33"/>
      <c r="F251" s="31">
        <f>SUMPRODUCT(($G$116:$U$116=3)*($G$244:$U$244))</f>
        <v>21802.662622610351</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37" priority="1">
      <formula>$G$75=""</formula>
    </cfRule>
  </conditionalFormatting>
  <conditionalFormatting sqref="B138:V150">
    <cfRule type="expression" dxfId="36" priority="2">
      <formula>$H$75=""</formula>
    </cfRule>
  </conditionalFormatting>
  <conditionalFormatting sqref="B152:V164">
    <cfRule type="expression" dxfId="35" priority="3">
      <formula>$I$75=""</formula>
    </cfRule>
  </conditionalFormatting>
  <conditionalFormatting sqref="B166:V178">
    <cfRule type="expression" dxfId="34" priority="4">
      <formula>$J$75=""</formula>
    </cfRule>
  </conditionalFormatting>
  <conditionalFormatting sqref="B180:V192">
    <cfRule type="expression" dxfId="33" priority="5">
      <formula>$K$75=""</formula>
    </cfRule>
  </conditionalFormatting>
  <conditionalFormatting sqref="F14">
    <cfRule type="expression" dxfId="32" priority="9">
      <formula>LEFT(F14,6)="Review"</formula>
    </cfRule>
  </conditionalFormatting>
  <conditionalFormatting sqref="G96:K96">
    <cfRule type="expression" dxfId="31" priority="8">
      <formula>AND(G96&lt;&gt;"",G96&lt;&gt;"OK")</formula>
    </cfRule>
  </conditionalFormatting>
  <conditionalFormatting sqref="G115:U246">
    <cfRule type="expression" dxfId="30" priority="6">
      <formula>G$117=0</formula>
    </cfRule>
  </conditionalFormatting>
  <conditionalFormatting sqref="G122:U122">
    <cfRule type="expression" dxfId="29" priority="7">
      <formula>LEFT(G122,7)="Carried"</formula>
    </cfRule>
  </conditionalFormatting>
  <dataValidations count="19">
    <dataValidation type="list" allowBlank="1" showErrorMessage="1" errorTitle="Invalid entry" error="Select a value from the list." sqref="F18" xr:uid="{00000000-0002-0000-0700-000000000000}">
      <formula1>L_Country</formula1>
    </dataValidation>
    <dataValidation type="list" allowBlank="1" showErrorMessage="1" errorTitle="Invalid entry" error="Select a value from the list." sqref="F20" xr:uid="{00000000-0002-0000-0700-000001000000}">
      <formula1>L_BOD</formula1>
    </dataValidation>
    <dataValidation type="list" allowBlank="1" showErrorMessage="1" errorTitle="Invalid entry" error="Select a value from the list." sqref="F43" xr:uid="{00000000-0002-0000-0700-000002000000}">
      <formula1>L_Ops</formula1>
    </dataValidation>
    <dataValidation type="list" allowBlank="1" showErrorMessage="1" errorTitle="Invalid entry" error="Select a value from the list." sqref="F45" xr:uid="{00000000-0002-0000-0700-000003000000}">
      <formula1>L_Elec</formula1>
    </dataValidation>
    <dataValidation type="list" allowBlank="1" showErrorMessage="1" errorTitle="Invalid entry" error="Select a value from the list." sqref="F48 F51" xr:uid="{00000000-0002-0000-0700-000004000000}">
      <formula1>L_Fuel</formula1>
    </dataValidation>
    <dataValidation type="list" allowBlank="1" showErrorMessage="1" errorTitle="Invalid entry" error="Select a value from the list." sqref="F50" xr:uid="{00000000-0002-0000-0700-000005000000}">
      <formula1>L_Transport</formula1>
    </dataValidation>
    <dataValidation type="date" showErrorMessage="1" error="Enter a date between 1 January 2026 and 31 December 2035." sqref="F42" xr:uid="{00000000-0002-0000-0700-000006000000}">
      <formula1>DATE(2026,1,1)</formula1>
      <formula2>DATE(2035,12,31)</formula2>
    </dataValidation>
    <dataValidation type="whole" allowBlank="1" showErrorMessage="1" error="Enter a value between 0 and 15." sqref="F44 G109:N109" xr:uid="{00000000-0002-0000-0700-000007000000}">
      <formula1>0</formula1>
      <formula2>15</formula2>
    </dataValidation>
    <dataValidation type="decimal" allowBlank="1" showErrorMessage="1" error="Enter a value between 0 and 1." sqref="G200:U201 G95:K95 E60:E63" xr:uid="{00000000-0002-0000-0700-000008000000}">
      <formula1>0</formula1>
      <formula2>1</formula2>
    </dataValidation>
    <dataValidation type="list" allowBlank="1" showErrorMessage="1" errorTitle="Invalid entry" error="Select a value from the list." sqref="F69" xr:uid="{00000000-0002-0000-0700-00000C000000}">
      <formula1>L_SDUAF</formula1>
    </dataValidation>
    <dataValidation type="list" allowBlank="1" showErrorMessage="1" errorTitle="Invalid entry" error="Select a value from the list." sqref="G75 H75 I75 J75 K75" xr:uid="{00000000-0002-0000-0700-00000D000000}">
      <formula1>L_Pathway</formula1>
    </dataValidation>
    <dataValidation type="list" allowBlank="1" showErrorMessage="1" errorTitle="Invalid entry" error="Select a value from the list." sqref="G77 H77 I77 J77 K77" xr:uid="{00000000-0002-0000-0700-00000E000000}">
      <formula1>L_Emptied</formula1>
    </dataValidation>
    <dataValidation type="list" allowBlank="1" showErrorMessage="1" errorTitle="Invalid entry" error="Select a value from the list." sqref="G78 H78 I78 J78 K78" xr:uid="{00000000-0002-0000-0700-00000F000000}">
      <formula1>L_Route</formula1>
    </dataValidation>
    <dataValidation type="list" allowBlank="1" showErrorMessage="1" errorTitle="Invalid entry" error="Select a value from the list." sqref="G81 H81 I81 J81 K81" xr:uid="{00000000-0002-0000-0700-000010000000}">
      <formula1>L_UAF</formula1>
    </dataValidation>
    <dataValidation type="list" allowBlank="1" showErrorMessage="1" errorTitle="Invalid entry" error="Select a value from the list." sqref="G86 G87 H86 H87 I86 I87 J86 J87 K86 K87" xr:uid="{00000000-0002-0000-0700-000011000000}">
      <formula1>L_Unit</formula1>
    </dataValidation>
    <dataValidation type="list" allowBlank="1" showErrorMessage="1" errorTitle="Invalid entry" error="Select a value from the list." sqref="G94 H94 I94 J94 K94" xr:uid="{00000000-0002-0000-0700-000012000000}">
      <formula1>L_YesNo</formula1>
    </dataValidation>
    <dataValidation type="list" allowBlank="1" showErrorMessage="1" errorTitle="Invalid entry" error="Select a value from the list." sqref="G101 H101 I101 J101 K101 L101 M101 N101" xr:uid="{00000000-0002-0000-0700-000018000000}">
      <formula1>L_Tier</formula1>
    </dataValidation>
    <dataValidation type="list" allowBlank="1" showErrorMessage="1" errorTitle="Invalid entry" error="Select a value from the list." sqref="G102 H102 I102 J102 K102 L102 M102 N102" xr:uid="{00000000-0002-0000-0700-000019000000}">
      <formula1>L_Material</formula1>
    </dataValidation>
    <dataValidation type="whole" allowBlank="1" showErrorMessage="1" error="Enter a value between 1 and 15." sqref="G108:N108" xr:uid="{00000000-0002-0000-0700-00001A000000}">
      <formula1>1</formula1>
      <formula2>15</formula2>
    </dataValidation>
  </dataValidations>
  <pageMargins left="0.75" right="0.75" top="1" bottom="1" header="0.5" footer="0.5"/>
  <pageSetup paperSize="9"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773</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774</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112509.17937713875</v>
      </c>
    </row>
    <row r="7" spans="2:25">
      <c r="B7" s="30" t="s">
        <v>360</v>
      </c>
      <c r="C7" s="33"/>
      <c r="D7" s="33" t="s">
        <v>359</v>
      </c>
      <c r="E7" s="33"/>
      <c r="F7" s="31">
        <f>SUMPRODUCT(($G$114:$U$114&lt;=10)*($G$244:$U$244))</f>
        <v>92038.893604291239</v>
      </c>
    </row>
    <row r="8" spans="2:25">
      <c r="B8" s="27" t="s">
        <v>361</v>
      </c>
      <c r="C8" s="33"/>
      <c r="D8" s="33" t="s">
        <v>359</v>
      </c>
      <c r="E8" s="33"/>
      <c r="F8" s="34">
        <f>IF(SUM($G$117:$U$117)&gt;0,V244/SUM($G$117:$U$117),0)</f>
        <v>9375.7649480948949</v>
      </c>
    </row>
    <row r="9" spans="2:25">
      <c r="B9" s="27" t="s">
        <v>362</v>
      </c>
      <c r="C9" s="33"/>
      <c r="D9" s="33" t="s">
        <v>359</v>
      </c>
      <c r="E9" s="33"/>
      <c r="F9" s="34">
        <f>V202</f>
        <v>151527.22836834088</v>
      </c>
    </row>
    <row r="10" spans="2:25">
      <c r="B10" s="27" t="s">
        <v>363</v>
      </c>
      <c r="C10" s="33"/>
      <c r="D10" s="33" t="s">
        <v>359</v>
      </c>
      <c r="E10" s="33"/>
      <c r="F10" s="34">
        <f>V222</f>
        <v>33011.44899120208</v>
      </c>
    </row>
    <row r="11" spans="2:25">
      <c r="B11" s="27" t="s">
        <v>364</v>
      </c>
      <c r="C11" s="33"/>
      <c r="D11" s="33" t="s">
        <v>359</v>
      </c>
      <c r="E11" s="33"/>
      <c r="F11" s="34">
        <f>V240</f>
        <v>6006.6</v>
      </c>
    </row>
    <row r="12" spans="2:25">
      <c r="B12" s="27" t="s">
        <v>365</v>
      </c>
      <c r="C12" s="33"/>
      <c r="D12" s="33" t="s">
        <v>359</v>
      </c>
      <c r="E12" s="33"/>
      <c r="F12" s="34">
        <f>V203</f>
        <v>3650.8107758684673</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753</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3.4000000000000002E-2</v>
      </c>
      <c r="G19" s="94" t="str">
        <f>"Table 6.4 entry: "&amp;INDEX(Defaults!$C$32:$C$64,MATCH($F$18,Defaults!$B$32:$B$64,0))</f>
        <v>Table 6.4 entry: India (country value)</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3.4000000000000002E-2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74.569999999999993</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4.3548879999999999</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2.0400000000000001E-2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2.0400000000000001E-2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12</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ht="22.5">
      <c r="B45" s="27" t="s">
        <v>441</v>
      </c>
      <c r="C45" s="33"/>
      <c r="D45" s="33"/>
      <c r="E45" s="33" t="s">
        <v>442</v>
      </c>
      <c r="F45" s="51" t="s">
        <v>443</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c r="G46" s="94"/>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1.3</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460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0</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480</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0.25</v>
      </c>
      <c r="F60" s="45">
        <f>C60*E60</f>
        <v>2.5000000000000001E-2</v>
      </c>
      <c r="G60" s="45">
        <f>(C60-D60)*E60</f>
        <v>1.2500000000000001E-2</v>
      </c>
    </row>
    <row r="61" spans="2:25">
      <c r="B61" s="27" t="s">
        <v>482</v>
      </c>
      <c r="C61" s="36">
        <f>INDEX(Defaults!$C$69:$C$79,MATCH(B61,Defaults!$B$69:$B$79,0))</f>
        <v>0.7</v>
      </c>
      <c r="D61" s="36">
        <f>IF(ISNUMBER(INDEX(Defaults!$D$69:$D$79,MATCH(B61,Defaults!$B$69:$B$79,0))),INDEX(Defaults!$D$69:$D$79,MATCH(B61,Defaults!$B$69:$B$79,0)),C61)</f>
        <v>0.7</v>
      </c>
      <c r="E61" s="53">
        <v>0.2</v>
      </c>
      <c r="F61" s="45">
        <f>C61*E61</f>
        <v>0.13999999999999999</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0.55000000000000004</v>
      </c>
      <c r="F62" s="45">
        <f>C62*E62</f>
        <v>0.30250000000000005</v>
      </c>
      <c r="G62" s="45">
        <f>(C62-D62)*E62</f>
        <v>8.2500000000000018E-2</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1</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0.46750000000000003</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0.46750000000000003</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0.44412499999999999</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0.20320855614973263</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733</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0.56999999999999995</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775</v>
      </c>
      <c r="H74" s="51" t="s">
        <v>734</v>
      </c>
      <c r="I74" s="51" t="s">
        <v>776</v>
      </c>
      <c r="J74" s="51" t="s">
        <v>777</v>
      </c>
      <c r="K74" s="51" t="s">
        <v>735</v>
      </c>
    </row>
    <row r="75" spans="2:25" ht="44.1" customHeight="1">
      <c r="B75" s="27" t="s">
        <v>508</v>
      </c>
      <c r="C75" s="33" t="s">
        <v>509</v>
      </c>
      <c r="D75" s="33"/>
      <c r="E75" s="33" t="s">
        <v>510</v>
      </c>
      <c r="F75" s="33"/>
      <c r="G75" s="51" t="s">
        <v>511</v>
      </c>
      <c r="H75" s="51" t="s">
        <v>482</v>
      </c>
      <c r="I75" s="51" t="s">
        <v>483</v>
      </c>
      <c r="J75" s="51" t="s">
        <v>778</v>
      </c>
      <c r="K75" s="51" t="s">
        <v>738</v>
      </c>
    </row>
    <row r="76" spans="2:25">
      <c r="B76" s="27" t="s">
        <v>513</v>
      </c>
      <c r="C76" s="33"/>
      <c r="D76" s="33" t="s">
        <v>514</v>
      </c>
      <c r="E76" s="33" t="s">
        <v>515</v>
      </c>
      <c r="F76" s="33"/>
      <c r="G76" s="60"/>
      <c r="H76" s="60"/>
      <c r="I76" s="60"/>
      <c r="J76" s="60"/>
      <c r="K76" s="60">
        <v>10</v>
      </c>
    </row>
    <row r="77" spans="2:25" ht="44.1" customHeight="1">
      <c r="B77" s="27" t="s">
        <v>516</v>
      </c>
      <c r="C77" s="33"/>
      <c r="D77" s="33"/>
      <c r="E77" s="33" t="s">
        <v>517</v>
      </c>
      <c r="F77" s="33"/>
      <c r="G77" s="51" t="s">
        <v>518</v>
      </c>
      <c r="H77" s="51" t="s">
        <v>518</v>
      </c>
      <c r="I77" s="51" t="s">
        <v>759</v>
      </c>
      <c r="J77" s="51" t="s">
        <v>518</v>
      </c>
      <c r="K77" s="51" t="s">
        <v>518</v>
      </c>
    </row>
    <row r="78" spans="2:25" ht="44.1" customHeight="1">
      <c r="B78" s="27" t="s">
        <v>519</v>
      </c>
      <c r="C78" s="33"/>
      <c r="D78" s="33"/>
      <c r="E78" s="33" t="s">
        <v>520</v>
      </c>
      <c r="F78" s="33"/>
      <c r="G78" s="51" t="s">
        <v>521</v>
      </c>
      <c r="H78" s="51" t="s">
        <v>521</v>
      </c>
      <c r="I78" s="51" t="s">
        <v>521</v>
      </c>
      <c r="J78" s="51" t="s">
        <v>521</v>
      </c>
      <c r="K78" s="51" t="s">
        <v>521</v>
      </c>
    </row>
    <row r="79" spans="2:25">
      <c r="B79" s="27" t="s">
        <v>522</v>
      </c>
      <c r="C79" s="33" t="s">
        <v>490</v>
      </c>
      <c r="D79" s="33" t="s">
        <v>398</v>
      </c>
      <c r="E79" s="33" t="s">
        <v>125</v>
      </c>
      <c r="F79" s="33"/>
      <c r="G79" s="40"/>
      <c r="H79" s="40"/>
      <c r="I79" s="40"/>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0.44412499999999999</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0.7</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0.55000000000000004</v>
      </c>
      <c r="J80" s="61">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0.61</v>
      </c>
      <c r="K80" s="61">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0.5</v>
      </c>
    </row>
    <row r="81" spans="2:11">
      <c r="B81" s="27" t="s">
        <v>525</v>
      </c>
      <c r="C81" s="33"/>
      <c r="D81" s="33"/>
      <c r="E81" s="33" t="s">
        <v>526</v>
      </c>
      <c r="F81" s="33"/>
      <c r="G81" s="51" t="s">
        <v>527</v>
      </c>
      <c r="H81" s="51" t="s">
        <v>527</v>
      </c>
      <c r="I81" s="51" t="s">
        <v>527</v>
      </c>
      <c r="J81" s="51" t="s">
        <v>527</v>
      </c>
      <c r="K81" s="51" t="s">
        <v>527</v>
      </c>
    </row>
    <row r="82" spans="2:11" ht="22.5">
      <c r="B82" s="27" t="s">
        <v>528</v>
      </c>
      <c r="C82" s="33" t="s">
        <v>493</v>
      </c>
      <c r="D82" s="33" t="s">
        <v>398</v>
      </c>
      <c r="E82" s="33" t="s">
        <v>529</v>
      </c>
      <c r="F82" s="33"/>
      <c r="G82" s="53"/>
      <c r="H82" s="53"/>
      <c r="I82" s="53"/>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0.56999999999999995</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0.72</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0.67</v>
      </c>
      <c r="J83" s="61">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0.31</v>
      </c>
      <c r="K83" s="61">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0.69</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540</v>
      </c>
      <c r="H86" s="51" t="s">
        <v>540</v>
      </c>
      <c r="I86" s="51" t="s">
        <v>779</v>
      </c>
      <c r="J86" s="51" t="s">
        <v>780</v>
      </c>
      <c r="K86" s="51" t="s">
        <v>540</v>
      </c>
    </row>
    <row r="87" spans="2:11" ht="44.1" customHeight="1">
      <c r="B87" s="27" t="s">
        <v>541</v>
      </c>
      <c r="C87" s="33" t="s">
        <v>538</v>
      </c>
      <c r="D87" s="33"/>
      <c r="E87" s="33" t="s">
        <v>539</v>
      </c>
      <c r="F87" s="33"/>
      <c r="G87" s="51" t="s">
        <v>460</v>
      </c>
      <c r="H87" s="51" t="s">
        <v>460</v>
      </c>
      <c r="I87" s="51" t="s">
        <v>540</v>
      </c>
      <c r="J87" s="51" t="s">
        <v>460</v>
      </c>
      <c r="K87" s="51" t="s">
        <v>460</v>
      </c>
    </row>
    <row r="88" spans="2:11">
      <c r="B88" s="27" t="s">
        <v>542</v>
      </c>
      <c r="C88" s="33"/>
      <c r="D88" s="33"/>
      <c r="E88" s="33"/>
      <c r="F88" s="33"/>
      <c r="G88" s="44" t="str">
        <f>IF(G86="","NONE",INDEX(Defaults!$C$91:$C$101,MATCH(G86,Defaults!$B$91:$B$101,0)))</f>
        <v>COMP</v>
      </c>
      <c r="H88" s="44" t="str">
        <f>IF(H86="","NONE",INDEX(Defaults!$C$91:$C$101,MATCH(H86,Defaults!$B$91:$B$101,0)))</f>
        <v>COMP</v>
      </c>
      <c r="I88" s="44" t="str">
        <f>IF(I86="","NONE",INDEX(Defaults!$C$91:$C$101,MATCH(I86,Defaults!$B$91:$B$101,0)))</f>
        <v>NONE</v>
      </c>
      <c r="J88" s="44" t="str">
        <f>IF(J86="","NONE",INDEX(Defaults!$C$91:$C$101,MATCH(J86,Defaults!$B$91:$B$101,0)))</f>
        <v>WW</v>
      </c>
      <c r="K88" s="44" t="str">
        <f>IF(K86="","NONE",INDEX(Defaults!$C$91:$C$101,MATCH(K86,Defaults!$B$91:$B$101,0)))</f>
        <v>COMP</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COMP</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v>
      </c>
      <c r="J90" s="41">
        <f>IF(J86="",0,INDEX(Defaults!$D$91:$D$101,MATCH(J86,Defaults!$B$91:$B$101,0)))</f>
        <v>3.4000000000000002E-2</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0</v>
      </c>
      <c r="J92" s="45">
        <f>IF(J86="",0,INDEX(Defaults!$F$91:$F$101,MATCH(J86,Defaults!$B$91:$B$101,0)))</f>
        <v>1.6E-2</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t="s">
        <v>552</v>
      </c>
      <c r="K94" s="51" t="s">
        <v>552</v>
      </c>
    </row>
    <row r="95" spans="2:11" ht="44.1" customHeight="1">
      <c r="B95" s="27" t="s">
        <v>553</v>
      </c>
      <c r="C95" s="33"/>
      <c r="D95" s="33" t="s">
        <v>398</v>
      </c>
      <c r="E95" s="33" t="s">
        <v>466</v>
      </c>
      <c r="F95" s="33"/>
      <c r="G95" s="53">
        <v>0</v>
      </c>
      <c r="H95" s="53">
        <v>0</v>
      </c>
      <c r="I95" s="53">
        <v>0</v>
      </c>
      <c r="J95" s="53">
        <v>0</v>
      </c>
      <c r="K95" s="53">
        <v>0</v>
      </c>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OK</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OK</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781</v>
      </c>
      <c r="H100" s="51" t="s">
        <v>782</v>
      </c>
      <c r="I100" s="51" t="s">
        <v>783</v>
      </c>
      <c r="J100" s="51" t="s">
        <v>784</v>
      </c>
      <c r="K100" s="51" t="s">
        <v>564</v>
      </c>
      <c r="L100" s="51" t="s">
        <v>565</v>
      </c>
      <c r="M100" s="51" t="s">
        <v>566</v>
      </c>
      <c r="N100" s="51" t="s">
        <v>785</v>
      </c>
    </row>
    <row r="101" spans="2:25">
      <c r="B101" s="27" t="s">
        <v>572</v>
      </c>
      <c r="C101" s="33"/>
      <c r="D101" s="33"/>
      <c r="E101" s="33" t="s">
        <v>573</v>
      </c>
      <c r="F101" s="33"/>
      <c r="G101" s="51" t="s">
        <v>576</v>
      </c>
      <c r="H101" s="51" t="s">
        <v>576</v>
      </c>
      <c r="I101" s="51" t="s">
        <v>576</v>
      </c>
      <c r="J101" s="51" t="s">
        <v>576</v>
      </c>
      <c r="K101" s="51" t="s">
        <v>574</v>
      </c>
      <c r="L101" s="51" t="s">
        <v>574</v>
      </c>
      <c r="M101" s="51" t="s">
        <v>574</v>
      </c>
      <c r="N101" s="51" t="s">
        <v>576</v>
      </c>
    </row>
    <row r="102" spans="2:25" ht="30" customHeight="1">
      <c r="B102" s="27" t="s">
        <v>577</v>
      </c>
      <c r="C102" s="33" t="s">
        <v>578</v>
      </c>
      <c r="D102" s="33"/>
      <c r="E102" s="33" t="s">
        <v>579</v>
      </c>
      <c r="F102" s="33"/>
      <c r="G102" s="51" t="s">
        <v>583</v>
      </c>
      <c r="H102" s="51" t="s">
        <v>583</v>
      </c>
      <c r="I102" s="51" t="s">
        <v>786</v>
      </c>
      <c r="J102" s="51" t="s">
        <v>582</v>
      </c>
      <c r="K102" s="51" t="s">
        <v>580</v>
      </c>
      <c r="L102" s="51" t="s">
        <v>580</v>
      </c>
      <c r="M102" s="51" t="s">
        <v>580</v>
      </c>
      <c r="N102" s="51" t="s">
        <v>787</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0.18</v>
      </c>
      <c r="H104" s="41">
        <f>IF(H102="","",IF(ISNUMBER(H103),H103,INDEX(Defaults!$D$112:$D$126,MATCH(H102,Defaults!$B$112:$B$126,0))))</f>
        <v>0.18</v>
      </c>
      <c r="I104" s="41">
        <f>IF(I102="","",IF(ISNUMBER(I103),I103,INDEX(Defaults!$D$112:$D$126,MATCH(I102,Defaults!$B$112:$B$126,0))))</f>
        <v>6.1</v>
      </c>
      <c r="J104" s="41">
        <f>IF(J102="","",IF(ISNUMBER(J103),J103,INDEX(Defaults!$D$112:$D$126,MATCH(J102,Defaults!$B$112:$B$126,0))))</f>
        <v>1.6</v>
      </c>
      <c r="K104" s="41">
        <f>IF(K102="","",IF(ISNUMBER(K103),K103,INDEX(Defaults!$D$112:$D$126,MATCH(K102,Defaults!$B$112:$B$126,0))))</f>
        <v>2.5</v>
      </c>
      <c r="L104" s="41">
        <f>IF(L102="","",IF(ISNUMBER(L103),L103,INDEX(Defaults!$D$112:$D$126,MATCH(L102,Defaults!$B$112:$B$126,0))))</f>
        <v>2.5</v>
      </c>
      <c r="M104" s="41">
        <f>IF(M102="","",IF(ISNUMBER(M103),M103,INDEX(Defaults!$D$112:$D$126,MATCH(M102,Defaults!$B$112:$B$126,0))))</f>
        <v>2.5</v>
      </c>
      <c r="N104" s="41">
        <f>IF(N102="","",IF(ISNUMBER(N103),N103,INDEX(Defaults!$D$112:$D$126,MATCH(N102,Defaults!$B$112:$B$126,0))))</f>
        <v>3.1</v>
      </c>
    </row>
    <row r="105" spans="2:25">
      <c r="B105" s="27" t="s">
        <v>589</v>
      </c>
      <c r="C105" s="33" t="s">
        <v>590</v>
      </c>
      <c r="D105" s="33" t="s">
        <v>591</v>
      </c>
      <c r="E105" s="33" t="s">
        <v>260</v>
      </c>
      <c r="F105" s="33"/>
      <c r="G105" s="63">
        <v>2000000</v>
      </c>
      <c r="H105" s="63">
        <v>2500000</v>
      </c>
      <c r="I105" s="63">
        <v>3000</v>
      </c>
      <c r="J105" s="63">
        <v>8000</v>
      </c>
      <c r="K105" s="63">
        <v>10</v>
      </c>
      <c r="L105" s="63">
        <v>10</v>
      </c>
      <c r="M105" s="63">
        <v>10</v>
      </c>
      <c r="N105" s="63">
        <v>30000</v>
      </c>
    </row>
    <row r="106" spans="2:25">
      <c r="B106" s="27" t="s">
        <v>592</v>
      </c>
      <c r="C106" s="33"/>
      <c r="D106" s="33" t="s">
        <v>593</v>
      </c>
      <c r="E106" s="33"/>
      <c r="F106" s="33"/>
      <c r="G106" s="63">
        <v>1</v>
      </c>
      <c r="H106" s="63">
        <v>1</v>
      </c>
      <c r="I106" s="63">
        <v>4</v>
      </c>
      <c r="J106" s="63">
        <v>18</v>
      </c>
      <c r="K106" s="63">
        <v>24000</v>
      </c>
      <c r="L106" s="63">
        <v>14400</v>
      </c>
      <c r="M106" s="63">
        <v>9600</v>
      </c>
      <c r="N106" s="63">
        <v>1</v>
      </c>
    </row>
    <row r="107" spans="2:25">
      <c r="B107" s="27" t="s">
        <v>594</v>
      </c>
      <c r="C107" s="33"/>
      <c r="D107" s="33" t="s">
        <v>359</v>
      </c>
      <c r="E107" s="33" t="s">
        <v>174</v>
      </c>
      <c r="F107" s="33"/>
      <c r="G107" s="34">
        <f t="shared" ref="G107:N107" si="0">IF(OR(G102="",G101=""),0,N(G105)*N(G106)*N(G104)/1000)</f>
        <v>360</v>
      </c>
      <c r="H107" s="34">
        <f t="shared" si="0"/>
        <v>450</v>
      </c>
      <c r="I107" s="34">
        <f t="shared" si="0"/>
        <v>73.2</v>
      </c>
      <c r="J107" s="34">
        <f t="shared" si="0"/>
        <v>230.4</v>
      </c>
      <c r="K107" s="34">
        <f t="shared" si="0"/>
        <v>600</v>
      </c>
      <c r="L107" s="34">
        <f t="shared" si="0"/>
        <v>360</v>
      </c>
      <c r="M107" s="34">
        <f t="shared" si="0"/>
        <v>240</v>
      </c>
      <c r="N107" s="34">
        <f t="shared" si="0"/>
        <v>93</v>
      </c>
    </row>
    <row r="108" spans="2:25">
      <c r="B108" s="27" t="s">
        <v>595</v>
      </c>
      <c r="C108" s="33"/>
      <c r="D108" s="33" t="s">
        <v>439</v>
      </c>
      <c r="E108" s="33" t="s">
        <v>174</v>
      </c>
      <c r="F108" s="33"/>
      <c r="G108" s="60">
        <v>1</v>
      </c>
      <c r="H108" s="60">
        <v>1</v>
      </c>
      <c r="I108" s="60">
        <v>1</v>
      </c>
      <c r="J108" s="60">
        <v>1</v>
      </c>
      <c r="K108" s="60">
        <v>1</v>
      </c>
      <c r="L108" s="60">
        <v>2</v>
      </c>
      <c r="M108" s="60">
        <v>3</v>
      </c>
      <c r="N108" s="60">
        <v>1</v>
      </c>
    </row>
    <row r="109" spans="2:25">
      <c r="B109" s="27" t="s">
        <v>596</v>
      </c>
      <c r="C109" s="33"/>
      <c r="D109" s="33" t="s">
        <v>436</v>
      </c>
      <c r="E109" s="33" t="s">
        <v>597</v>
      </c>
      <c r="F109" s="33"/>
      <c r="G109" s="60"/>
      <c r="H109" s="60"/>
      <c r="I109" s="60"/>
      <c r="J109" s="60"/>
      <c r="K109" s="60">
        <v>3</v>
      </c>
      <c r="L109" s="60">
        <v>3</v>
      </c>
      <c r="M109" s="60">
        <v>3</v>
      </c>
      <c r="N109" s="60"/>
    </row>
    <row r="110" spans="2:25">
      <c r="B110" s="27" t="s">
        <v>598</v>
      </c>
      <c r="C110" s="33" t="s">
        <v>599</v>
      </c>
      <c r="D110" s="33" t="s">
        <v>436</v>
      </c>
      <c r="E110" s="33" t="s">
        <v>573</v>
      </c>
      <c r="F110" s="33"/>
      <c r="G110" s="48">
        <f t="shared" ref="G110:N110" si="1">IF(G101="","",IF(G101="Tier 1",1,5))</f>
        <v>5</v>
      </c>
      <c r="H110" s="48">
        <f t="shared" si="1"/>
        <v>5</v>
      </c>
      <c r="I110" s="48">
        <f t="shared" si="1"/>
        <v>5</v>
      </c>
      <c r="J110" s="48">
        <f t="shared" si="1"/>
        <v>5</v>
      </c>
      <c r="K110" s="48">
        <f t="shared" si="1"/>
        <v>1</v>
      </c>
      <c r="L110" s="48">
        <f t="shared" si="1"/>
        <v>1</v>
      </c>
      <c r="M110" s="48">
        <f t="shared" si="1"/>
        <v>1</v>
      </c>
      <c r="N110" s="48">
        <f t="shared" si="1"/>
        <v>5</v>
      </c>
    </row>
    <row r="111" spans="2:25">
      <c r="B111" s="27" t="s">
        <v>600</v>
      </c>
      <c r="C111" s="33"/>
      <c r="D111" s="33" t="s">
        <v>432</v>
      </c>
      <c r="E111" s="33" t="s">
        <v>174</v>
      </c>
      <c r="F111" s="33"/>
      <c r="G111" s="64">
        <f t="shared" ref="G111:N111" si="2">IF(G101="","",IF(N(G108)&lt;=1,$F$42,DATE(YEAR($F$42)+G108-1,1,1)))</f>
        <v>46388</v>
      </c>
      <c r="H111" s="64">
        <f t="shared" si="2"/>
        <v>46388</v>
      </c>
      <c r="I111" s="64">
        <f t="shared" si="2"/>
        <v>46388</v>
      </c>
      <c r="J111" s="64">
        <f t="shared" si="2"/>
        <v>46388</v>
      </c>
      <c r="K111" s="64">
        <f t="shared" si="2"/>
        <v>46388</v>
      </c>
      <c r="L111" s="64">
        <f t="shared" si="2"/>
        <v>46753</v>
      </c>
      <c r="M111" s="64">
        <f t="shared" si="2"/>
        <v>47119</v>
      </c>
      <c r="N111" s="64">
        <f t="shared" si="2"/>
        <v>46388</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1</v>
      </c>
      <c r="R117" s="48">
        <f t="shared" si="6"/>
        <v>1</v>
      </c>
      <c r="S117" s="48">
        <f t="shared" si="6"/>
        <v>0</v>
      </c>
      <c r="T117" s="48">
        <f t="shared" si="6"/>
        <v>0</v>
      </c>
      <c r="U117" s="48">
        <f t="shared" si="6"/>
        <v>0</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365</v>
      </c>
      <c r="P120" s="67">
        <f t="shared" si="9"/>
        <v>366</v>
      </c>
      <c r="Q120" s="67">
        <f t="shared" si="9"/>
        <v>365</v>
      </c>
      <c r="R120" s="67">
        <f t="shared" si="9"/>
        <v>365</v>
      </c>
      <c r="S120" s="67">
        <f t="shared" si="9"/>
        <v>0</v>
      </c>
      <c r="T120" s="67">
        <f t="shared" si="9"/>
        <v>0</v>
      </c>
      <c r="U120" s="67">
        <f t="shared" si="9"/>
        <v>0</v>
      </c>
      <c r="V120" s="67">
        <f>SUMPRODUCT($G$117:$U$117,G120:U120)</f>
        <v>4383</v>
      </c>
    </row>
    <row r="121" spans="2:25">
      <c r="B121" s="27" t="s">
        <v>612</v>
      </c>
      <c r="C121" s="33" t="s">
        <v>233</v>
      </c>
      <c r="D121" s="33" t="s">
        <v>398</v>
      </c>
      <c r="E121" s="33" t="s">
        <v>232</v>
      </c>
      <c r="F121" s="33"/>
      <c r="G121" s="58">
        <f t="shared" ref="G121:U121" si="10">IF(G$117=0,0,IF(G$115&lt;=2030,$F$39,IF(G$115&lt;=2035,IF(ISNUMBER($F$40),$F$40,$F$39),IF(ISNUMBER($F$41),$F$41,IF(ISNUMBER($F$40),$F$40,$F$39)))))</f>
        <v>2.0400000000000001E-2</v>
      </c>
      <c r="H121" s="58">
        <f t="shared" si="10"/>
        <v>2.0400000000000001E-2</v>
      </c>
      <c r="I121" s="58">
        <f t="shared" si="10"/>
        <v>2.0400000000000001E-2</v>
      </c>
      <c r="J121" s="58">
        <f t="shared" si="10"/>
        <v>2.0400000000000001E-2</v>
      </c>
      <c r="K121" s="58">
        <f t="shared" si="10"/>
        <v>2.0400000000000001E-2</v>
      </c>
      <c r="L121" s="58">
        <f t="shared" si="10"/>
        <v>2.0400000000000001E-2</v>
      </c>
      <c r="M121" s="58">
        <f t="shared" si="10"/>
        <v>2.0400000000000001E-2</v>
      </c>
      <c r="N121" s="58">
        <f t="shared" si="10"/>
        <v>2.0400000000000001E-2</v>
      </c>
      <c r="O121" s="58">
        <f t="shared" si="10"/>
        <v>2.0400000000000001E-2</v>
      </c>
      <c r="P121" s="58">
        <f t="shared" si="10"/>
        <v>2.0400000000000001E-2</v>
      </c>
      <c r="Q121" s="58">
        <f t="shared" si="10"/>
        <v>2.0400000000000001E-2</v>
      </c>
      <c r="R121" s="58">
        <f t="shared" si="10"/>
        <v>2.0400000000000001E-2</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Carried forward: replace when published</v>
      </c>
      <c r="R122" s="44" t="str">
        <f t="shared" si="11"/>
        <v>Carried forward: replace when published</v>
      </c>
      <c r="S122" s="44" t="str">
        <f t="shared" si="11"/>
        <v/>
      </c>
      <c r="T122" s="44" t="str">
        <f t="shared" si="11"/>
        <v/>
      </c>
      <c r="U122" s="44" t="str">
        <f t="shared" si="11"/>
        <v/>
      </c>
      <c r="V122" s="33"/>
    </row>
    <row r="123" spans="2:25" ht="22.5">
      <c r="B123" s="25" t="str">
        <f>"Stratum 1: "&amp;IF(G$74="","not used",G$74)</f>
        <v>Stratum 1: Open defecation or unimproved (suppressed demand), CBS</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30000</v>
      </c>
      <c r="H124" s="63">
        <v>48000</v>
      </c>
      <c r="I124" s="63">
        <v>60000</v>
      </c>
      <c r="J124" s="63">
        <v>60000</v>
      </c>
      <c r="K124" s="63">
        <v>60000</v>
      </c>
      <c r="L124" s="63">
        <v>60000</v>
      </c>
      <c r="M124" s="63">
        <v>60000</v>
      </c>
      <c r="N124" s="63">
        <v>60000</v>
      </c>
      <c r="O124" s="63">
        <v>60000</v>
      </c>
      <c r="P124" s="63">
        <v>60000</v>
      </c>
      <c r="Q124" s="63">
        <v>60000</v>
      </c>
      <c r="R124" s="63">
        <v>60000</v>
      </c>
      <c r="S124" s="63">
        <v>60000</v>
      </c>
      <c r="T124" s="63">
        <v>60000</v>
      </c>
      <c r="U124" s="63">
        <v>60000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1</v>
      </c>
      <c r="P127" s="45">
        <f t="shared" si="13"/>
        <v>1</v>
      </c>
      <c r="Q127" s="45">
        <f t="shared" si="13"/>
        <v>1</v>
      </c>
      <c r="R127" s="45">
        <f t="shared" si="13"/>
        <v>1</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2777.8419900000004</v>
      </c>
      <c r="H128" s="34">
        <f t="shared" si="14"/>
        <v>4456.7240256000005</v>
      </c>
      <c r="I128" s="34">
        <f t="shared" si="14"/>
        <v>5555.6839800000007</v>
      </c>
      <c r="J128" s="34">
        <f t="shared" si="14"/>
        <v>5555.6839800000007</v>
      </c>
      <c r="K128" s="34">
        <f t="shared" si="14"/>
        <v>5555.6839800000007</v>
      </c>
      <c r="L128" s="34">
        <f t="shared" si="14"/>
        <v>5570.9050319999997</v>
      </c>
      <c r="M128" s="34">
        <f t="shared" si="14"/>
        <v>5555.6839800000007</v>
      </c>
      <c r="N128" s="34">
        <f t="shared" si="14"/>
        <v>5555.6839800000007</v>
      </c>
      <c r="O128" s="34">
        <f t="shared" si="14"/>
        <v>5555.6839800000007</v>
      </c>
      <c r="P128" s="34">
        <f t="shared" si="14"/>
        <v>5570.9050319999997</v>
      </c>
      <c r="Q128" s="34">
        <f t="shared" si="14"/>
        <v>5555.6839800000007</v>
      </c>
      <c r="R128" s="34">
        <f t="shared" si="14"/>
        <v>5555.6839800000007</v>
      </c>
      <c r="S128" s="34">
        <f t="shared" si="14"/>
        <v>0</v>
      </c>
      <c r="T128" s="34">
        <f t="shared" si="14"/>
        <v>0</v>
      </c>
      <c r="U128" s="34">
        <f t="shared" si="14"/>
        <v>0</v>
      </c>
      <c r="V128" s="34">
        <f t="shared" ref="V128:V136" si="15">SUMPRODUCT($G$117:$U$117,G128:U128)</f>
        <v>62821.847919600012</v>
      </c>
    </row>
    <row r="129" spans="2:25">
      <c r="B129" s="27" t="s">
        <v>628</v>
      </c>
      <c r="C129" s="33" t="s">
        <v>629</v>
      </c>
      <c r="D129" s="33" t="s">
        <v>359</v>
      </c>
      <c r="E129" s="33" t="s">
        <v>129</v>
      </c>
      <c r="F129" s="33"/>
      <c r="G129" s="34">
        <f t="shared" ref="G129:U129" si="16">IF($G$75="",0,G128*$G$83)</f>
        <v>1583.3699343000001</v>
      </c>
      <c r="H129" s="34">
        <f t="shared" si="16"/>
        <v>2540.3326945919998</v>
      </c>
      <c r="I129" s="34">
        <f t="shared" si="16"/>
        <v>3166.7398686000001</v>
      </c>
      <c r="J129" s="34">
        <f t="shared" si="16"/>
        <v>3166.7398686000001</v>
      </c>
      <c r="K129" s="34">
        <f t="shared" si="16"/>
        <v>3166.7398686000001</v>
      </c>
      <c r="L129" s="34">
        <f t="shared" si="16"/>
        <v>3175.4158682399993</v>
      </c>
      <c r="M129" s="34">
        <f t="shared" si="16"/>
        <v>3166.7398686000001</v>
      </c>
      <c r="N129" s="34">
        <f t="shared" si="16"/>
        <v>3166.7398686000001</v>
      </c>
      <c r="O129" s="34">
        <f t="shared" si="16"/>
        <v>3166.7398686000001</v>
      </c>
      <c r="P129" s="34">
        <f t="shared" si="16"/>
        <v>3175.4158682399993</v>
      </c>
      <c r="Q129" s="34">
        <f t="shared" si="16"/>
        <v>3166.7398686000001</v>
      </c>
      <c r="R129" s="34">
        <f t="shared" si="16"/>
        <v>3166.7398686000001</v>
      </c>
      <c r="S129" s="34">
        <f t="shared" si="16"/>
        <v>0</v>
      </c>
      <c r="T129" s="34">
        <f t="shared" si="16"/>
        <v>0</v>
      </c>
      <c r="U129" s="34">
        <f t="shared" si="16"/>
        <v>0</v>
      </c>
      <c r="V129" s="34">
        <f t="shared" si="15"/>
        <v>35808.453314172009</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1326.1641554324394</v>
      </c>
      <c r="H136" s="34">
        <f t="shared" si="23"/>
        <v>2152.0633681117852</v>
      </c>
      <c r="I136" s="34">
        <f t="shared" si="23"/>
        <v>2682.7292669426283</v>
      </c>
      <c r="J136" s="34">
        <f t="shared" si="23"/>
        <v>2682.7292669426283</v>
      </c>
      <c r="K136" s="34">
        <f t="shared" si="23"/>
        <v>2682.7292669426283</v>
      </c>
      <c r="L136" s="34">
        <f t="shared" si="23"/>
        <v>2690.079210139731</v>
      </c>
      <c r="M136" s="34">
        <f t="shared" si="23"/>
        <v>2682.7292669426283</v>
      </c>
      <c r="N136" s="34">
        <f t="shared" si="23"/>
        <v>2682.7292669426283</v>
      </c>
      <c r="O136" s="34">
        <f t="shared" si="23"/>
        <v>2682.7292669426283</v>
      </c>
      <c r="P136" s="34">
        <f t="shared" si="23"/>
        <v>2690.079210139731</v>
      </c>
      <c r="Q136" s="34">
        <f t="shared" si="23"/>
        <v>2682.7292669426283</v>
      </c>
      <c r="R136" s="34">
        <f t="shared" si="23"/>
        <v>2682.7292669426283</v>
      </c>
      <c r="S136" s="34">
        <f t="shared" si="23"/>
        <v>0</v>
      </c>
      <c r="T136" s="34">
        <f t="shared" si="23"/>
        <v>0</v>
      </c>
      <c r="U136" s="34">
        <f t="shared" si="23"/>
        <v>0</v>
      </c>
      <c r="V136" s="34">
        <f t="shared" si="15"/>
        <v>30320.22007936471</v>
      </c>
      <c r="Y136" s="50" t="s">
        <v>643</v>
      </c>
    </row>
    <row r="137" spans="2:25" ht="22.5">
      <c r="B137" s="25" t="str">
        <f>"Stratum 2: "&amp;IF(H$74="","not used",H$74)</f>
        <v>Stratum 2: Wet pit latrines decommissioned; households moved to CBS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20000</v>
      </c>
      <c r="H138" s="63">
        <v>32000</v>
      </c>
      <c r="I138" s="63">
        <v>40000</v>
      </c>
      <c r="J138" s="63">
        <v>40000</v>
      </c>
      <c r="K138" s="63">
        <v>40000</v>
      </c>
      <c r="L138" s="63">
        <v>40000</v>
      </c>
      <c r="M138" s="63">
        <v>40000</v>
      </c>
      <c r="N138" s="63">
        <v>40000</v>
      </c>
      <c r="O138" s="63">
        <v>40000</v>
      </c>
      <c r="P138" s="63">
        <v>40000</v>
      </c>
      <c r="Q138" s="63">
        <v>40000</v>
      </c>
      <c r="R138" s="63">
        <v>40000</v>
      </c>
      <c r="S138" s="63">
        <v>40000</v>
      </c>
      <c r="T138" s="63">
        <v>40000</v>
      </c>
      <c r="U138" s="63">
        <v>40000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v>
      </c>
      <c r="H141" s="45">
        <f t="shared" si="25"/>
        <v>1</v>
      </c>
      <c r="I141" s="45">
        <f t="shared" si="25"/>
        <v>1</v>
      </c>
      <c r="J141" s="45">
        <f t="shared" si="25"/>
        <v>1</v>
      </c>
      <c r="K141" s="45">
        <f t="shared" si="25"/>
        <v>1</v>
      </c>
      <c r="L141" s="45">
        <f t="shared" si="25"/>
        <v>1</v>
      </c>
      <c r="M141" s="45">
        <f t="shared" si="25"/>
        <v>1</v>
      </c>
      <c r="N141" s="45">
        <f t="shared" si="25"/>
        <v>1</v>
      </c>
      <c r="O141" s="45">
        <f t="shared" si="25"/>
        <v>1</v>
      </c>
      <c r="P141" s="45">
        <f t="shared" si="25"/>
        <v>1</v>
      </c>
      <c r="Q141" s="45">
        <f t="shared" si="25"/>
        <v>1</v>
      </c>
      <c r="R141" s="45">
        <f t="shared" si="25"/>
        <v>1</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2918.8319999999999</v>
      </c>
      <c r="H142" s="34">
        <f t="shared" si="26"/>
        <v>4682.9260800000002</v>
      </c>
      <c r="I142" s="34">
        <f t="shared" si="26"/>
        <v>5837.6639999999998</v>
      </c>
      <c r="J142" s="34">
        <f t="shared" si="26"/>
        <v>5837.6639999999998</v>
      </c>
      <c r="K142" s="34">
        <f t="shared" si="26"/>
        <v>5837.6639999999998</v>
      </c>
      <c r="L142" s="34">
        <f t="shared" si="26"/>
        <v>5853.6575999999995</v>
      </c>
      <c r="M142" s="34">
        <f t="shared" si="26"/>
        <v>5837.6639999999998</v>
      </c>
      <c r="N142" s="34">
        <f t="shared" si="26"/>
        <v>5837.6639999999998</v>
      </c>
      <c r="O142" s="34">
        <f t="shared" si="26"/>
        <v>5837.6639999999998</v>
      </c>
      <c r="P142" s="34">
        <f t="shared" si="26"/>
        <v>5853.6575999999995</v>
      </c>
      <c r="Q142" s="34">
        <f t="shared" si="26"/>
        <v>5837.6639999999998</v>
      </c>
      <c r="R142" s="34">
        <f t="shared" si="26"/>
        <v>5837.6639999999998</v>
      </c>
      <c r="S142" s="34">
        <f t="shared" si="26"/>
        <v>0</v>
      </c>
      <c r="T142" s="34">
        <f t="shared" si="26"/>
        <v>0</v>
      </c>
      <c r="U142" s="34">
        <f t="shared" si="26"/>
        <v>0</v>
      </c>
      <c r="V142" s="34">
        <f t="shared" ref="V142:V150" si="27">SUMPRODUCT($G$117:$U$117,G142:U142)</f>
        <v>66010.385279999988</v>
      </c>
    </row>
    <row r="143" spans="2:25">
      <c r="B143" s="27" t="s">
        <v>628</v>
      </c>
      <c r="C143" s="33" t="s">
        <v>629</v>
      </c>
      <c r="D143" s="33" t="s">
        <v>359</v>
      </c>
      <c r="E143" s="33" t="s">
        <v>129</v>
      </c>
      <c r="F143" s="33"/>
      <c r="G143" s="34">
        <f t="shared" ref="G143:U143" si="28">IF($H$75="",0,G142*$H$83)</f>
        <v>2101.5590399999996</v>
      </c>
      <c r="H143" s="34">
        <f t="shared" si="28"/>
        <v>3371.7067775999999</v>
      </c>
      <c r="I143" s="34">
        <f t="shared" si="28"/>
        <v>4203.1180799999993</v>
      </c>
      <c r="J143" s="34">
        <f t="shared" si="28"/>
        <v>4203.1180799999993</v>
      </c>
      <c r="K143" s="34">
        <f t="shared" si="28"/>
        <v>4203.1180799999993</v>
      </c>
      <c r="L143" s="34">
        <f t="shared" si="28"/>
        <v>4214.6334719999995</v>
      </c>
      <c r="M143" s="34">
        <f t="shared" si="28"/>
        <v>4203.1180799999993</v>
      </c>
      <c r="N143" s="34">
        <f t="shared" si="28"/>
        <v>4203.1180799999993</v>
      </c>
      <c r="O143" s="34">
        <f t="shared" si="28"/>
        <v>4203.1180799999993</v>
      </c>
      <c r="P143" s="34">
        <f t="shared" si="28"/>
        <v>4214.6334719999995</v>
      </c>
      <c r="Q143" s="34">
        <f t="shared" si="28"/>
        <v>4203.1180799999993</v>
      </c>
      <c r="R143" s="34">
        <f t="shared" si="28"/>
        <v>4203.1180799999993</v>
      </c>
      <c r="S143" s="34">
        <f t="shared" si="28"/>
        <v>0</v>
      </c>
      <c r="T143" s="34">
        <f t="shared" si="28"/>
        <v>0</v>
      </c>
      <c r="U143" s="34">
        <f t="shared" si="28"/>
        <v>0</v>
      </c>
      <c r="V143" s="34">
        <f t="shared" si="27"/>
        <v>47527.477401600001</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1760.1775864243195</v>
      </c>
      <c r="H150" s="34">
        <f t="shared" si="35"/>
        <v>2856.3686400346028</v>
      </c>
      <c r="I150" s="34">
        <f t="shared" si="35"/>
        <v>3560.7054426660857</v>
      </c>
      <c r="J150" s="34">
        <f t="shared" si="35"/>
        <v>3560.7054426660857</v>
      </c>
      <c r="K150" s="34">
        <f t="shared" si="35"/>
        <v>3560.7054426660857</v>
      </c>
      <c r="L150" s="34">
        <f t="shared" si="35"/>
        <v>3570.4608000432531</v>
      </c>
      <c r="M150" s="34">
        <f t="shared" si="35"/>
        <v>3560.7054426660857</v>
      </c>
      <c r="N150" s="34">
        <f t="shared" si="35"/>
        <v>3560.7054426660857</v>
      </c>
      <c r="O150" s="34">
        <f t="shared" si="35"/>
        <v>3560.7054426660857</v>
      </c>
      <c r="P150" s="34">
        <f t="shared" si="35"/>
        <v>3570.4608000432531</v>
      </c>
      <c r="Q150" s="34">
        <f t="shared" si="35"/>
        <v>3560.7054426660857</v>
      </c>
      <c r="R150" s="34">
        <f t="shared" si="35"/>
        <v>3560.7054426660857</v>
      </c>
      <c r="S150" s="34">
        <f t="shared" si="35"/>
        <v>0</v>
      </c>
      <c r="T150" s="34">
        <f t="shared" si="35"/>
        <v>0</v>
      </c>
      <c r="U150" s="34">
        <f t="shared" si="35"/>
        <v>0</v>
      </c>
      <c r="V150" s="34">
        <f t="shared" si="27"/>
        <v>40243.111367874117</v>
      </c>
    </row>
    <row r="151" spans="2:25" ht="22.5">
      <c r="B151" s="25" t="str">
        <f>"Stratum 3: "&amp;IF(I$74="","not used",I$74)</f>
        <v>Stratum 3: Septic tanks emptied; mechanical dewatering and co-composting</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75000</v>
      </c>
      <c r="H152" s="63">
        <v>120000</v>
      </c>
      <c r="I152" s="63">
        <v>150000</v>
      </c>
      <c r="J152" s="63">
        <v>150000</v>
      </c>
      <c r="K152" s="63">
        <v>150000</v>
      </c>
      <c r="L152" s="63">
        <v>150000</v>
      </c>
      <c r="M152" s="63">
        <v>150000</v>
      </c>
      <c r="N152" s="63">
        <v>150000</v>
      </c>
      <c r="O152" s="63">
        <v>150000</v>
      </c>
      <c r="P152" s="63">
        <v>150000</v>
      </c>
      <c r="Q152" s="63">
        <v>150000</v>
      </c>
      <c r="R152" s="63">
        <v>150000</v>
      </c>
      <c r="S152" s="63">
        <v>150000</v>
      </c>
      <c r="T152" s="63">
        <v>150000</v>
      </c>
      <c r="U152" s="63">
        <v>150000</v>
      </c>
      <c r="V152" s="33"/>
    </row>
    <row r="153" spans="2:25">
      <c r="B153" s="27" t="s">
        <v>617</v>
      </c>
      <c r="C153" s="33" t="s">
        <v>618</v>
      </c>
      <c r="D153" s="33" t="s">
        <v>619</v>
      </c>
      <c r="E153" s="33" t="s">
        <v>255</v>
      </c>
      <c r="F153" s="33"/>
      <c r="G153" s="68"/>
      <c r="H153" s="68"/>
      <c r="I153" s="68"/>
      <c r="J153" s="68"/>
      <c r="K153" s="68"/>
      <c r="L153" s="68"/>
      <c r="M153" s="68"/>
      <c r="N153" s="68"/>
      <c r="O153" s="68"/>
      <c r="P153" s="68"/>
      <c r="Q153" s="68"/>
      <c r="R153" s="68"/>
      <c r="S153" s="68"/>
      <c r="T153" s="68"/>
      <c r="U153" s="68"/>
      <c r="V153" s="43">
        <f>SUMPRODUCT($G$117:$U$117,G153:U153)</f>
        <v>0</v>
      </c>
      <c r="Y153" s="50" t="s">
        <v>620</v>
      </c>
    </row>
    <row r="154" spans="2:25">
      <c r="B154" s="27" t="s">
        <v>621</v>
      </c>
      <c r="C154" s="33" t="s">
        <v>622</v>
      </c>
      <c r="D154" s="33" t="s">
        <v>619</v>
      </c>
      <c r="E154" s="33" t="s">
        <v>168</v>
      </c>
      <c r="F154" s="33"/>
      <c r="G154" s="68"/>
      <c r="H154" s="68"/>
      <c r="I154" s="68"/>
      <c r="J154" s="68"/>
      <c r="K154" s="68"/>
      <c r="L154" s="68"/>
      <c r="M154" s="68"/>
      <c r="N154" s="68"/>
      <c r="O154" s="68"/>
      <c r="P154" s="68"/>
      <c r="Q154" s="68"/>
      <c r="R154" s="68"/>
      <c r="S154" s="68"/>
      <c r="T154" s="68"/>
      <c r="U154" s="68"/>
      <c r="V154" s="43">
        <f>SUMPRODUCT($G$117:$U$117,G154:U154)</f>
        <v>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0.5</v>
      </c>
      <c r="H155" s="45">
        <f t="shared" si="37"/>
        <v>0.5</v>
      </c>
      <c r="I155" s="45">
        <f t="shared" si="37"/>
        <v>0.5</v>
      </c>
      <c r="J155" s="45">
        <f t="shared" si="37"/>
        <v>0.5</v>
      </c>
      <c r="K155" s="45">
        <f t="shared" si="37"/>
        <v>0.5</v>
      </c>
      <c r="L155" s="45">
        <f t="shared" si="37"/>
        <v>0.5</v>
      </c>
      <c r="M155" s="45">
        <f t="shared" si="37"/>
        <v>0.5</v>
      </c>
      <c r="N155" s="45">
        <f t="shared" si="37"/>
        <v>0.5</v>
      </c>
      <c r="O155" s="45">
        <f t="shared" si="37"/>
        <v>0.5</v>
      </c>
      <c r="P155" s="45">
        <f t="shared" si="37"/>
        <v>0.5</v>
      </c>
      <c r="Q155" s="45">
        <f t="shared" si="37"/>
        <v>0.5</v>
      </c>
      <c r="R155" s="45">
        <f t="shared" si="37"/>
        <v>0.5</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4300.0649999999996</v>
      </c>
      <c r="H156" s="34">
        <f t="shared" si="38"/>
        <v>6898.9536000000007</v>
      </c>
      <c r="I156" s="34">
        <f t="shared" si="38"/>
        <v>8600.1299999999992</v>
      </c>
      <c r="J156" s="34">
        <f t="shared" si="38"/>
        <v>8600.1299999999992</v>
      </c>
      <c r="K156" s="34">
        <f t="shared" si="38"/>
        <v>8600.1299999999992</v>
      </c>
      <c r="L156" s="34">
        <f t="shared" si="38"/>
        <v>8623.6919999999991</v>
      </c>
      <c r="M156" s="34">
        <f t="shared" si="38"/>
        <v>8600.1299999999992</v>
      </c>
      <c r="N156" s="34">
        <f t="shared" si="38"/>
        <v>8600.1299999999992</v>
      </c>
      <c r="O156" s="34">
        <f t="shared" si="38"/>
        <v>8600.1299999999992</v>
      </c>
      <c r="P156" s="34">
        <f t="shared" si="38"/>
        <v>8623.6919999999991</v>
      </c>
      <c r="Q156" s="34">
        <f t="shared" si="38"/>
        <v>8600.1299999999992</v>
      </c>
      <c r="R156" s="34">
        <f t="shared" si="38"/>
        <v>8600.1299999999992</v>
      </c>
      <c r="S156" s="34">
        <f t="shared" si="38"/>
        <v>0</v>
      </c>
      <c r="T156" s="34">
        <f t="shared" si="38"/>
        <v>0</v>
      </c>
      <c r="U156" s="34">
        <f t="shared" si="38"/>
        <v>0</v>
      </c>
      <c r="V156" s="34">
        <f t="shared" ref="V156:V164" si="39">SUMPRODUCT($G$117:$U$117,G156:U156)</f>
        <v>97247.442599999995</v>
      </c>
    </row>
    <row r="157" spans="2:25">
      <c r="B157" s="27" t="s">
        <v>628</v>
      </c>
      <c r="C157" s="33" t="s">
        <v>629</v>
      </c>
      <c r="D157" s="33" t="s">
        <v>359</v>
      </c>
      <c r="E157" s="33" t="s">
        <v>129</v>
      </c>
      <c r="F157" s="33"/>
      <c r="G157" s="34">
        <f t="shared" ref="G157:U157" si="40">IF($I$75="",0,G156*$I$83)</f>
        <v>2881.0435499999999</v>
      </c>
      <c r="H157" s="34">
        <f t="shared" si="40"/>
        <v>4622.2989120000011</v>
      </c>
      <c r="I157" s="34">
        <f t="shared" si="40"/>
        <v>5762.0870999999997</v>
      </c>
      <c r="J157" s="34">
        <f t="shared" si="40"/>
        <v>5762.0870999999997</v>
      </c>
      <c r="K157" s="34">
        <f t="shared" si="40"/>
        <v>5762.0870999999997</v>
      </c>
      <c r="L157" s="34">
        <f t="shared" si="40"/>
        <v>5777.8736399999998</v>
      </c>
      <c r="M157" s="34">
        <f t="shared" si="40"/>
        <v>5762.0870999999997</v>
      </c>
      <c r="N157" s="34">
        <f t="shared" si="40"/>
        <v>5762.0870999999997</v>
      </c>
      <c r="O157" s="34">
        <f t="shared" si="40"/>
        <v>5762.0870999999997</v>
      </c>
      <c r="P157" s="34">
        <f t="shared" si="40"/>
        <v>5777.8736399999998</v>
      </c>
      <c r="Q157" s="34">
        <f t="shared" si="40"/>
        <v>5762.0870999999997</v>
      </c>
      <c r="R157" s="34">
        <f t="shared" si="40"/>
        <v>5762.0870999999997</v>
      </c>
      <c r="S157" s="34">
        <f t="shared" si="40"/>
        <v>0</v>
      </c>
      <c r="T157" s="34">
        <f t="shared" si="40"/>
        <v>0</v>
      </c>
      <c r="U157" s="34">
        <f t="shared" si="40"/>
        <v>0</v>
      </c>
      <c r="V157" s="34">
        <f t="shared" si="39"/>
        <v>65155.786541999987</v>
      </c>
    </row>
    <row r="158" spans="2:25" ht="21">
      <c r="B158" s="27" t="s">
        <v>630</v>
      </c>
      <c r="C158" s="33" t="s">
        <v>631</v>
      </c>
      <c r="D158" s="33" t="s">
        <v>359</v>
      </c>
      <c r="E158" s="33" t="s">
        <v>632</v>
      </c>
      <c r="F158" s="33"/>
      <c r="G158" s="34">
        <f t="shared" ref="G158:U158" si="41">IF(OR($I$88="FST",$I$88="WW"),N(G152)*G$120*$F$22*$F$25*$I$90*G155*$F$30/1000,0)</f>
        <v>0</v>
      </c>
      <c r="H158" s="34">
        <f t="shared" si="41"/>
        <v>0</v>
      </c>
      <c r="I158" s="34">
        <f t="shared" si="41"/>
        <v>0</v>
      </c>
      <c r="J158" s="34">
        <f t="shared" si="41"/>
        <v>0</v>
      </c>
      <c r="K158" s="34">
        <f t="shared" si="41"/>
        <v>0</v>
      </c>
      <c r="L158" s="34">
        <f t="shared" si="41"/>
        <v>0</v>
      </c>
      <c r="M158" s="34">
        <f t="shared" si="41"/>
        <v>0</v>
      </c>
      <c r="N158" s="34">
        <f t="shared" si="41"/>
        <v>0</v>
      </c>
      <c r="O158" s="34">
        <f t="shared" si="41"/>
        <v>0</v>
      </c>
      <c r="P158" s="34">
        <f t="shared" si="41"/>
        <v>0</v>
      </c>
      <c r="Q158" s="34">
        <f t="shared" si="41"/>
        <v>0</v>
      </c>
      <c r="R158" s="34">
        <f t="shared" si="41"/>
        <v>0</v>
      </c>
      <c r="S158" s="34">
        <f t="shared" si="41"/>
        <v>0</v>
      </c>
      <c r="T158" s="34">
        <f t="shared" si="41"/>
        <v>0</v>
      </c>
      <c r="U158" s="34">
        <f t="shared" si="41"/>
        <v>0</v>
      </c>
      <c r="V158" s="34">
        <f t="shared" si="39"/>
        <v>0</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0</v>
      </c>
      <c r="H160" s="34">
        <f t="shared" si="43"/>
        <v>0</v>
      </c>
      <c r="I160" s="34">
        <f t="shared" si="43"/>
        <v>0</v>
      </c>
      <c r="J160" s="34">
        <f t="shared" si="43"/>
        <v>0</v>
      </c>
      <c r="K160" s="34">
        <f t="shared" si="43"/>
        <v>0</v>
      </c>
      <c r="L160" s="34">
        <f t="shared" si="43"/>
        <v>0</v>
      </c>
      <c r="M160" s="34">
        <f t="shared" si="43"/>
        <v>0</v>
      </c>
      <c r="N160" s="34">
        <f t="shared" si="43"/>
        <v>0</v>
      </c>
      <c r="O160" s="34">
        <f t="shared" si="43"/>
        <v>0</v>
      </c>
      <c r="P160" s="34">
        <f t="shared" si="43"/>
        <v>0</v>
      </c>
      <c r="Q160" s="34">
        <f t="shared" si="43"/>
        <v>0</v>
      </c>
      <c r="R160" s="34">
        <f t="shared" si="43"/>
        <v>0</v>
      </c>
      <c r="S160" s="34">
        <f t="shared" si="43"/>
        <v>0</v>
      </c>
      <c r="T160" s="34">
        <f t="shared" si="43"/>
        <v>0</v>
      </c>
      <c r="U160" s="34">
        <f t="shared" si="43"/>
        <v>0</v>
      </c>
      <c r="V160" s="34">
        <f t="shared" si="39"/>
        <v>0</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2413.0410736508998</v>
      </c>
      <c r="H164" s="34">
        <f t="shared" si="47"/>
        <v>3915.8178714760102</v>
      </c>
      <c r="I164" s="34">
        <f t="shared" si="47"/>
        <v>4881.3986444287675</v>
      </c>
      <c r="J164" s="34">
        <f t="shared" si="47"/>
        <v>4881.3986444287675</v>
      </c>
      <c r="K164" s="34">
        <f t="shared" si="47"/>
        <v>4881.3986444287675</v>
      </c>
      <c r="L164" s="34">
        <f t="shared" si="47"/>
        <v>4894.7723393450115</v>
      </c>
      <c r="M164" s="34">
        <f t="shared" si="47"/>
        <v>4881.3986444287675</v>
      </c>
      <c r="N164" s="34">
        <f t="shared" si="47"/>
        <v>4881.3986444287675</v>
      </c>
      <c r="O164" s="34">
        <f t="shared" si="47"/>
        <v>4881.3986444287675</v>
      </c>
      <c r="P164" s="34">
        <f t="shared" si="47"/>
        <v>4894.7723393450115</v>
      </c>
      <c r="Q164" s="34">
        <f t="shared" si="47"/>
        <v>4881.3986444287675</v>
      </c>
      <c r="R164" s="34">
        <f t="shared" si="47"/>
        <v>4881.3986444287675</v>
      </c>
      <c r="S164" s="34">
        <f t="shared" si="47"/>
        <v>0</v>
      </c>
      <c r="T164" s="34">
        <f t="shared" si="47"/>
        <v>0</v>
      </c>
      <c r="U164" s="34">
        <f t="shared" si="47"/>
        <v>0</v>
      </c>
      <c r="V164" s="34">
        <f t="shared" si="39"/>
        <v>55169.592779247068</v>
      </c>
    </row>
    <row r="165" spans="2:25" ht="22.5">
      <c r="B165" s="25" t="str">
        <f>"Stratum 4: "&amp;IF(J$74="","not used",J$74)</f>
        <v>Stratum 4: Sewered area, sewer discharging untreated; aerobic treatment</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v>30000</v>
      </c>
      <c r="H166" s="63">
        <v>30000</v>
      </c>
      <c r="I166" s="63">
        <v>30000</v>
      </c>
      <c r="J166" s="63">
        <v>30000</v>
      </c>
      <c r="K166" s="63">
        <v>30000</v>
      </c>
      <c r="L166" s="63">
        <v>30000</v>
      </c>
      <c r="M166" s="63">
        <v>30000</v>
      </c>
      <c r="N166" s="63">
        <v>30000</v>
      </c>
      <c r="O166" s="63">
        <v>30000</v>
      </c>
      <c r="P166" s="63">
        <v>30000</v>
      </c>
      <c r="Q166" s="63">
        <v>30000</v>
      </c>
      <c r="R166" s="63">
        <v>30000</v>
      </c>
      <c r="S166" s="63">
        <v>30000</v>
      </c>
      <c r="T166" s="63">
        <v>30000</v>
      </c>
      <c r="U166" s="63">
        <v>30000</v>
      </c>
      <c r="V166" s="33"/>
    </row>
    <row r="167" spans="2:25">
      <c r="B167" s="27" t="s">
        <v>617</v>
      </c>
      <c r="C167" s="33" t="s">
        <v>618</v>
      </c>
      <c r="D167" s="33" t="s">
        <v>619</v>
      </c>
      <c r="E167" s="33" t="s">
        <v>255</v>
      </c>
      <c r="F167" s="33"/>
      <c r="G167" s="68"/>
      <c r="H167" s="68"/>
      <c r="I167" s="68"/>
      <c r="J167" s="68"/>
      <c r="K167" s="68"/>
      <c r="L167" s="68"/>
      <c r="M167" s="68"/>
      <c r="N167" s="68"/>
      <c r="O167" s="68"/>
      <c r="P167" s="68"/>
      <c r="Q167" s="68"/>
      <c r="R167" s="68"/>
      <c r="S167" s="68"/>
      <c r="T167" s="68"/>
      <c r="U167" s="68"/>
      <c r="V167" s="43">
        <f>SUMPRODUCT($G$117:$U$117,G167:U167)</f>
        <v>0</v>
      </c>
      <c r="Y167" s="50" t="s">
        <v>620</v>
      </c>
    </row>
    <row r="168" spans="2:25">
      <c r="B168" s="27" t="s">
        <v>621</v>
      </c>
      <c r="C168" s="33" t="s">
        <v>622</v>
      </c>
      <c r="D168" s="33" t="s">
        <v>619</v>
      </c>
      <c r="E168" s="33" t="s">
        <v>168</v>
      </c>
      <c r="F168" s="33"/>
      <c r="G168" s="68"/>
      <c r="H168" s="68"/>
      <c r="I168" s="68"/>
      <c r="J168" s="68"/>
      <c r="K168" s="68"/>
      <c r="L168" s="68"/>
      <c r="M168" s="68"/>
      <c r="N168" s="68"/>
      <c r="O168" s="68"/>
      <c r="P168" s="68"/>
      <c r="Q168" s="68"/>
      <c r="R168" s="68"/>
      <c r="S168" s="68"/>
      <c r="T168" s="68"/>
      <c r="U168" s="68"/>
      <c r="V168" s="43">
        <f>SUMPRODUCT($G$117:$U$117,G168:U168)</f>
        <v>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1</v>
      </c>
      <c r="H169" s="45">
        <f t="shared" si="49"/>
        <v>1</v>
      </c>
      <c r="I169" s="45">
        <f t="shared" si="49"/>
        <v>1</v>
      </c>
      <c r="J169" s="45">
        <f t="shared" si="49"/>
        <v>1</v>
      </c>
      <c r="K169" s="45">
        <f t="shared" si="49"/>
        <v>1</v>
      </c>
      <c r="L169" s="45">
        <f t="shared" si="49"/>
        <v>1</v>
      </c>
      <c r="M169" s="45">
        <f t="shared" si="49"/>
        <v>1</v>
      </c>
      <c r="N169" s="45">
        <f t="shared" si="49"/>
        <v>1</v>
      </c>
      <c r="O169" s="45">
        <f t="shared" si="49"/>
        <v>1</v>
      </c>
      <c r="P169" s="45">
        <f t="shared" si="49"/>
        <v>1</v>
      </c>
      <c r="Q169" s="45">
        <f t="shared" si="49"/>
        <v>1</v>
      </c>
      <c r="R169" s="45">
        <f t="shared" si="49"/>
        <v>1</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3815.3303999999994</v>
      </c>
      <c r="H170" s="34">
        <f t="shared" si="50"/>
        <v>3825.7833599999999</v>
      </c>
      <c r="I170" s="34">
        <f t="shared" si="50"/>
        <v>3815.3303999999994</v>
      </c>
      <c r="J170" s="34">
        <f t="shared" si="50"/>
        <v>3815.3303999999994</v>
      </c>
      <c r="K170" s="34">
        <f t="shared" si="50"/>
        <v>3815.3303999999994</v>
      </c>
      <c r="L170" s="34">
        <f t="shared" si="50"/>
        <v>3825.7833599999999</v>
      </c>
      <c r="M170" s="34">
        <f t="shared" si="50"/>
        <v>3815.3303999999994</v>
      </c>
      <c r="N170" s="34">
        <f t="shared" si="50"/>
        <v>3815.3303999999994</v>
      </c>
      <c r="O170" s="34">
        <f t="shared" si="50"/>
        <v>3815.3303999999994</v>
      </c>
      <c r="P170" s="34">
        <f t="shared" si="50"/>
        <v>3825.7833599999999</v>
      </c>
      <c r="Q170" s="34">
        <f t="shared" si="50"/>
        <v>3815.3303999999994</v>
      </c>
      <c r="R170" s="34">
        <f t="shared" si="50"/>
        <v>3815.3303999999994</v>
      </c>
      <c r="S170" s="34">
        <f t="shared" si="50"/>
        <v>0</v>
      </c>
      <c r="T170" s="34">
        <f t="shared" si="50"/>
        <v>0</v>
      </c>
      <c r="U170" s="34">
        <f t="shared" si="50"/>
        <v>0</v>
      </c>
      <c r="V170" s="34">
        <f t="shared" ref="V170:V178" si="51">SUMPRODUCT($G$117:$U$117,G170:U170)</f>
        <v>45815.323679999994</v>
      </c>
    </row>
    <row r="171" spans="2:25">
      <c r="B171" s="27" t="s">
        <v>628</v>
      </c>
      <c r="C171" s="33" t="s">
        <v>629</v>
      </c>
      <c r="D171" s="33" t="s">
        <v>359</v>
      </c>
      <c r="E171" s="33" t="s">
        <v>129</v>
      </c>
      <c r="F171" s="33"/>
      <c r="G171" s="34">
        <f t="shared" ref="G171:U171" si="52">IF($J$75="",0,G170*$J$83)</f>
        <v>1182.7524239999998</v>
      </c>
      <c r="H171" s="34">
        <f t="shared" si="52"/>
        <v>1185.9928416</v>
      </c>
      <c r="I171" s="34">
        <f t="shared" si="52"/>
        <v>1182.7524239999998</v>
      </c>
      <c r="J171" s="34">
        <f t="shared" si="52"/>
        <v>1182.7524239999998</v>
      </c>
      <c r="K171" s="34">
        <f t="shared" si="52"/>
        <v>1182.7524239999998</v>
      </c>
      <c r="L171" s="34">
        <f t="shared" si="52"/>
        <v>1185.9928416</v>
      </c>
      <c r="M171" s="34">
        <f t="shared" si="52"/>
        <v>1182.7524239999998</v>
      </c>
      <c r="N171" s="34">
        <f t="shared" si="52"/>
        <v>1182.7524239999998</v>
      </c>
      <c r="O171" s="34">
        <f t="shared" si="52"/>
        <v>1182.7524239999998</v>
      </c>
      <c r="P171" s="34">
        <f t="shared" si="52"/>
        <v>1185.9928416</v>
      </c>
      <c r="Q171" s="34">
        <f t="shared" si="52"/>
        <v>1182.7524239999998</v>
      </c>
      <c r="R171" s="34">
        <f t="shared" si="52"/>
        <v>1182.7524239999998</v>
      </c>
      <c r="S171" s="34">
        <f t="shared" si="52"/>
        <v>0</v>
      </c>
      <c r="T171" s="34">
        <f t="shared" si="52"/>
        <v>0</v>
      </c>
      <c r="U171" s="34">
        <f t="shared" si="52"/>
        <v>0</v>
      </c>
      <c r="V171" s="34">
        <f t="shared" si="51"/>
        <v>14202.750340800001</v>
      </c>
    </row>
    <row r="172" spans="2:25" ht="21">
      <c r="B172" s="27" t="s">
        <v>630</v>
      </c>
      <c r="C172" s="33" t="s">
        <v>631</v>
      </c>
      <c r="D172" s="33" t="s">
        <v>359</v>
      </c>
      <c r="E172" s="33" t="s">
        <v>632</v>
      </c>
      <c r="F172" s="33"/>
      <c r="G172" s="34">
        <f t="shared" ref="G172:U172" si="53">IF(OR($J$88="FST",$J$88="WW"),N(G166)*G$120*$F$22*$F$25*$J$90*G169*$F$30/1000,0)</f>
        <v>212.65776000000002</v>
      </c>
      <c r="H172" s="34">
        <f t="shared" si="53"/>
        <v>213.24038400000001</v>
      </c>
      <c r="I172" s="34">
        <f t="shared" si="53"/>
        <v>212.65776000000002</v>
      </c>
      <c r="J172" s="34">
        <f t="shared" si="53"/>
        <v>212.65776000000002</v>
      </c>
      <c r="K172" s="34">
        <f t="shared" si="53"/>
        <v>212.65776000000002</v>
      </c>
      <c r="L172" s="34">
        <f t="shared" si="53"/>
        <v>213.24038400000001</v>
      </c>
      <c r="M172" s="34">
        <f t="shared" si="53"/>
        <v>212.65776000000002</v>
      </c>
      <c r="N172" s="34">
        <f t="shared" si="53"/>
        <v>212.65776000000002</v>
      </c>
      <c r="O172" s="34">
        <f t="shared" si="53"/>
        <v>212.65776000000002</v>
      </c>
      <c r="P172" s="34">
        <f t="shared" si="53"/>
        <v>213.24038400000001</v>
      </c>
      <c r="Q172" s="34">
        <f t="shared" si="53"/>
        <v>212.65776000000002</v>
      </c>
      <c r="R172" s="34">
        <f t="shared" si="53"/>
        <v>212.65776000000002</v>
      </c>
      <c r="S172" s="34">
        <f t="shared" si="53"/>
        <v>0</v>
      </c>
      <c r="T172" s="34">
        <f t="shared" si="53"/>
        <v>0</v>
      </c>
      <c r="U172" s="34">
        <f t="shared" si="53"/>
        <v>0</v>
      </c>
      <c r="V172" s="34">
        <f t="shared" si="51"/>
        <v>2553.6409920000006</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870.47989851428565</v>
      </c>
      <c r="H174" s="34">
        <f t="shared" si="55"/>
        <v>872.86477494857149</v>
      </c>
      <c r="I174" s="34">
        <f t="shared" si="55"/>
        <v>870.47989851428565</v>
      </c>
      <c r="J174" s="34">
        <f t="shared" si="55"/>
        <v>870.47989851428565</v>
      </c>
      <c r="K174" s="34">
        <f t="shared" si="55"/>
        <v>870.47989851428565</v>
      </c>
      <c r="L174" s="34">
        <f t="shared" si="55"/>
        <v>872.86477494857149</v>
      </c>
      <c r="M174" s="34">
        <f t="shared" si="55"/>
        <v>870.47989851428565</v>
      </c>
      <c r="N174" s="34">
        <f t="shared" si="55"/>
        <v>870.47989851428565</v>
      </c>
      <c r="O174" s="34">
        <f t="shared" si="55"/>
        <v>870.47989851428565</v>
      </c>
      <c r="P174" s="34">
        <f t="shared" si="55"/>
        <v>872.86477494857149</v>
      </c>
      <c r="Q174" s="34">
        <f t="shared" si="55"/>
        <v>870.47989851428565</v>
      </c>
      <c r="R174" s="34">
        <f t="shared" si="55"/>
        <v>870.47989851428565</v>
      </c>
      <c r="S174" s="34">
        <f t="shared" si="55"/>
        <v>0</v>
      </c>
      <c r="T174" s="34">
        <f t="shared" si="55"/>
        <v>0</v>
      </c>
      <c r="U174" s="34">
        <f t="shared" si="55"/>
        <v>0</v>
      </c>
      <c r="V174" s="34">
        <f t="shared" si="51"/>
        <v>10452.913411474288</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-92.513903773693983</v>
      </c>
      <c r="H178" s="34">
        <f t="shared" si="59"/>
        <v>-81.381740364971279</v>
      </c>
      <c r="I178" s="34">
        <f t="shared" si="59"/>
        <v>-81.159385883100072</v>
      </c>
      <c r="J178" s="34">
        <f t="shared" si="59"/>
        <v>-81.159385883100072</v>
      </c>
      <c r="K178" s="34">
        <f t="shared" si="59"/>
        <v>-81.159385883100072</v>
      </c>
      <c r="L178" s="34">
        <f t="shared" si="59"/>
        <v>-81.381740364971279</v>
      </c>
      <c r="M178" s="34">
        <f t="shared" si="59"/>
        <v>-81.159385883100072</v>
      </c>
      <c r="N178" s="34">
        <f t="shared" si="59"/>
        <v>-81.159385883100072</v>
      </c>
      <c r="O178" s="34">
        <f t="shared" si="59"/>
        <v>-81.159385883100072</v>
      </c>
      <c r="P178" s="34">
        <f t="shared" si="59"/>
        <v>-81.381740364971279</v>
      </c>
      <c r="Q178" s="34">
        <f t="shared" si="59"/>
        <v>-81.159385883100072</v>
      </c>
      <c r="R178" s="34">
        <f t="shared" si="59"/>
        <v>-81.159385883100072</v>
      </c>
      <c r="S178" s="34">
        <f t="shared" si="59"/>
        <v>0</v>
      </c>
      <c r="T178" s="34">
        <f t="shared" si="59"/>
        <v>0</v>
      </c>
      <c r="U178" s="34">
        <f t="shared" si="59"/>
        <v>0</v>
      </c>
      <c r="V178" s="34">
        <f t="shared" si="51"/>
        <v>-985.93421193340839</v>
      </c>
    </row>
    <row r="179" spans="2:25" ht="22.5">
      <c r="B179" s="25" t="str">
        <f>"Stratum 5: "&amp;IF(K$74="","not used",K$74)</f>
        <v>Stratum 5: Shared dry pits (10 persons per pit) decommissioned; CBS</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v>10000</v>
      </c>
      <c r="H180" s="63">
        <v>16000</v>
      </c>
      <c r="I180" s="63">
        <v>20000</v>
      </c>
      <c r="J180" s="63">
        <v>20000</v>
      </c>
      <c r="K180" s="63">
        <v>20000</v>
      </c>
      <c r="L180" s="63">
        <v>20000</v>
      </c>
      <c r="M180" s="63">
        <v>20000</v>
      </c>
      <c r="N180" s="63">
        <v>20000</v>
      </c>
      <c r="O180" s="63">
        <v>20000</v>
      </c>
      <c r="P180" s="63">
        <v>20000</v>
      </c>
      <c r="Q180" s="63">
        <v>20000</v>
      </c>
      <c r="R180" s="63">
        <v>20000</v>
      </c>
      <c r="S180" s="63">
        <v>20000</v>
      </c>
      <c r="T180" s="63">
        <v>20000</v>
      </c>
      <c r="U180" s="63">
        <v>20000</v>
      </c>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1</v>
      </c>
      <c r="H183" s="45">
        <f t="shared" si="61"/>
        <v>1</v>
      </c>
      <c r="I183" s="45">
        <f t="shared" si="61"/>
        <v>1</v>
      </c>
      <c r="J183" s="45">
        <f t="shared" si="61"/>
        <v>1</v>
      </c>
      <c r="K183" s="45">
        <f t="shared" si="61"/>
        <v>1</v>
      </c>
      <c r="L183" s="45">
        <f t="shared" si="61"/>
        <v>1</v>
      </c>
      <c r="M183" s="45">
        <f t="shared" si="61"/>
        <v>1</v>
      </c>
      <c r="N183" s="45">
        <f t="shared" si="61"/>
        <v>1</v>
      </c>
      <c r="O183" s="45">
        <f t="shared" si="61"/>
        <v>1</v>
      </c>
      <c r="P183" s="45">
        <f t="shared" si="61"/>
        <v>1</v>
      </c>
      <c r="Q183" s="45">
        <f t="shared" si="61"/>
        <v>1</v>
      </c>
      <c r="R183" s="45">
        <f t="shared" si="61"/>
        <v>1</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1042.44</v>
      </c>
      <c r="H184" s="34">
        <f t="shared" si="62"/>
        <v>1672.4735999999998</v>
      </c>
      <c r="I184" s="34">
        <f t="shared" si="62"/>
        <v>2084.88</v>
      </c>
      <c r="J184" s="34">
        <f t="shared" si="62"/>
        <v>2084.88</v>
      </c>
      <c r="K184" s="34">
        <f t="shared" si="62"/>
        <v>2084.88</v>
      </c>
      <c r="L184" s="34">
        <f t="shared" si="62"/>
        <v>2090.5920000000001</v>
      </c>
      <c r="M184" s="34">
        <f t="shared" si="62"/>
        <v>2084.88</v>
      </c>
      <c r="N184" s="34">
        <f t="shared" si="62"/>
        <v>2084.88</v>
      </c>
      <c r="O184" s="34">
        <f t="shared" si="62"/>
        <v>2084.88</v>
      </c>
      <c r="P184" s="34">
        <f t="shared" si="62"/>
        <v>2090.5920000000001</v>
      </c>
      <c r="Q184" s="34">
        <f t="shared" si="62"/>
        <v>2084.88</v>
      </c>
      <c r="R184" s="34">
        <f t="shared" si="62"/>
        <v>2084.88</v>
      </c>
      <c r="S184" s="34">
        <f t="shared" si="62"/>
        <v>0</v>
      </c>
      <c r="T184" s="34">
        <f t="shared" si="62"/>
        <v>0</v>
      </c>
      <c r="U184" s="34">
        <f t="shared" si="62"/>
        <v>0</v>
      </c>
      <c r="V184" s="34">
        <f t="shared" ref="V184:V192" si="63">SUMPRODUCT($G$117:$U$117,G184:U184)</f>
        <v>23575.137600000005</v>
      </c>
    </row>
    <row r="185" spans="2:25">
      <c r="B185" s="27" t="s">
        <v>628</v>
      </c>
      <c r="C185" s="33" t="s">
        <v>629</v>
      </c>
      <c r="D185" s="33" t="s">
        <v>359</v>
      </c>
      <c r="E185" s="33" t="s">
        <v>129</v>
      </c>
      <c r="F185" s="33"/>
      <c r="G185" s="34">
        <f t="shared" ref="G185:U185" si="64">IF($K$75="",0,G184*$K$83)</f>
        <v>719.28359999999998</v>
      </c>
      <c r="H185" s="34">
        <f t="shared" si="64"/>
        <v>1154.0067839999997</v>
      </c>
      <c r="I185" s="34">
        <f t="shared" si="64"/>
        <v>1438.5672</v>
      </c>
      <c r="J185" s="34">
        <f t="shared" si="64"/>
        <v>1438.5672</v>
      </c>
      <c r="K185" s="34">
        <f t="shared" si="64"/>
        <v>1438.5672</v>
      </c>
      <c r="L185" s="34">
        <f t="shared" si="64"/>
        <v>1442.50848</v>
      </c>
      <c r="M185" s="34">
        <f t="shared" si="64"/>
        <v>1438.5672</v>
      </c>
      <c r="N185" s="34">
        <f t="shared" si="64"/>
        <v>1438.5672</v>
      </c>
      <c r="O185" s="34">
        <f t="shared" si="64"/>
        <v>1438.5672</v>
      </c>
      <c r="P185" s="34">
        <f t="shared" si="64"/>
        <v>1442.50848</v>
      </c>
      <c r="Q185" s="34">
        <f t="shared" si="64"/>
        <v>1438.5672</v>
      </c>
      <c r="R185" s="34">
        <f t="shared" si="64"/>
        <v>1438.5672</v>
      </c>
      <c r="S185" s="34">
        <f t="shared" si="64"/>
        <v>0</v>
      </c>
      <c r="T185" s="34">
        <f t="shared" si="64"/>
        <v>0</v>
      </c>
      <c r="U185" s="34">
        <f t="shared" si="64"/>
        <v>0</v>
      </c>
      <c r="V185" s="34">
        <f t="shared" si="63"/>
        <v>16266.844943999997</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602.44173344880005</v>
      </c>
      <c r="H192" s="34">
        <f t="shared" si="71"/>
        <v>977.62617144041462</v>
      </c>
      <c r="I192" s="34">
        <f t="shared" si="71"/>
        <v>1218.693827102976</v>
      </c>
      <c r="J192" s="34">
        <f t="shared" si="71"/>
        <v>1218.693827102976</v>
      </c>
      <c r="K192" s="34">
        <f t="shared" si="71"/>
        <v>1218.693827102976</v>
      </c>
      <c r="L192" s="34">
        <f t="shared" si="71"/>
        <v>1222.0327143005186</v>
      </c>
      <c r="M192" s="34">
        <f t="shared" si="71"/>
        <v>1218.693827102976</v>
      </c>
      <c r="N192" s="34">
        <f t="shared" si="71"/>
        <v>1218.693827102976</v>
      </c>
      <c r="O192" s="34">
        <f t="shared" si="71"/>
        <v>1218.693827102976</v>
      </c>
      <c r="P192" s="34">
        <f t="shared" si="71"/>
        <v>1222.0327143005186</v>
      </c>
      <c r="Q192" s="34">
        <f t="shared" si="71"/>
        <v>1218.693827102976</v>
      </c>
      <c r="R192" s="34">
        <f t="shared" si="71"/>
        <v>1218.693827102976</v>
      </c>
      <c r="S192" s="34">
        <f t="shared" si="71"/>
        <v>0</v>
      </c>
      <c r="T192" s="34">
        <f t="shared" si="71"/>
        <v>0</v>
      </c>
      <c r="U192" s="34">
        <f t="shared" si="71"/>
        <v>0</v>
      </c>
      <c r="V192" s="34">
        <f t="shared" si="63"/>
        <v>13773.683950314058</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14854.509389999999</v>
      </c>
      <c r="H195" s="34">
        <f t="shared" si="73"/>
        <v>21536.860665600005</v>
      </c>
      <c r="I195" s="34">
        <f t="shared" si="73"/>
        <v>25893.68838</v>
      </c>
      <c r="J195" s="34">
        <f t="shared" si="73"/>
        <v>25893.68838</v>
      </c>
      <c r="K195" s="34">
        <f t="shared" si="73"/>
        <v>25893.68838</v>
      </c>
      <c r="L195" s="34">
        <f t="shared" si="73"/>
        <v>25964.629991999998</v>
      </c>
      <c r="M195" s="34">
        <f t="shared" si="73"/>
        <v>25893.68838</v>
      </c>
      <c r="N195" s="34">
        <f t="shared" si="73"/>
        <v>25893.68838</v>
      </c>
      <c r="O195" s="34">
        <f t="shared" si="73"/>
        <v>25893.68838</v>
      </c>
      <c r="P195" s="34">
        <f t="shared" si="73"/>
        <v>25964.629991999998</v>
      </c>
      <c r="Q195" s="34">
        <f t="shared" si="73"/>
        <v>25893.68838</v>
      </c>
      <c r="R195" s="34">
        <f t="shared" si="73"/>
        <v>25893.68838</v>
      </c>
      <c r="S195" s="34">
        <f t="shared" si="73"/>
        <v>0</v>
      </c>
      <c r="T195" s="34">
        <f t="shared" si="73"/>
        <v>0</v>
      </c>
      <c r="U195" s="34">
        <f t="shared" si="73"/>
        <v>0</v>
      </c>
      <c r="V195" s="34">
        <f>SUMPRODUCT($G$117:$U$117,G195:U195)</f>
        <v>295470.13707960001</v>
      </c>
    </row>
    <row r="196" spans="2:25">
      <c r="B196" s="27" t="s">
        <v>628</v>
      </c>
      <c r="C196" s="33" t="s">
        <v>646</v>
      </c>
      <c r="D196" s="33" t="s">
        <v>359</v>
      </c>
      <c r="E196" s="33" t="s">
        <v>129</v>
      </c>
      <c r="F196" s="33"/>
      <c r="G196" s="34">
        <f t="shared" ref="G196:U196" si="74">G129+G143+G157+G171+G185</f>
        <v>8468.0085483000003</v>
      </c>
      <c r="H196" s="34">
        <f t="shared" si="74"/>
        <v>12874.338009792</v>
      </c>
      <c r="I196" s="34">
        <f t="shared" si="74"/>
        <v>15753.264672599998</v>
      </c>
      <c r="J196" s="34">
        <f t="shared" si="74"/>
        <v>15753.264672599998</v>
      </c>
      <c r="K196" s="34">
        <f t="shared" si="74"/>
        <v>15753.264672599998</v>
      </c>
      <c r="L196" s="34">
        <f t="shared" si="74"/>
        <v>15796.424301839999</v>
      </c>
      <c r="M196" s="34">
        <f t="shared" si="74"/>
        <v>15753.264672599998</v>
      </c>
      <c r="N196" s="34">
        <f t="shared" si="74"/>
        <v>15753.264672599998</v>
      </c>
      <c r="O196" s="34">
        <f t="shared" si="74"/>
        <v>15753.264672599998</v>
      </c>
      <c r="P196" s="34">
        <f t="shared" si="74"/>
        <v>15796.424301839999</v>
      </c>
      <c r="Q196" s="34">
        <f t="shared" si="74"/>
        <v>15753.264672599998</v>
      </c>
      <c r="R196" s="34">
        <f t="shared" si="74"/>
        <v>15753.264672599998</v>
      </c>
      <c r="S196" s="34">
        <f t="shared" si="74"/>
        <v>0</v>
      </c>
      <c r="T196" s="34">
        <f t="shared" si="74"/>
        <v>0</v>
      </c>
      <c r="U196" s="34">
        <f t="shared" si="74"/>
        <v>0</v>
      </c>
      <c r="V196" s="34">
        <f>SUMPRODUCT($G$117:$U$117,G196:U196)</f>
        <v>178961.31254257195</v>
      </c>
    </row>
    <row r="197" spans="2:25">
      <c r="B197" s="27" t="s">
        <v>647</v>
      </c>
      <c r="C197" s="33" t="s">
        <v>648</v>
      </c>
      <c r="D197" s="33" t="s">
        <v>359</v>
      </c>
      <c r="E197" s="33" t="s">
        <v>133</v>
      </c>
      <c r="F197" s="33"/>
      <c r="G197" s="34">
        <f t="shared" ref="G197:U197" si="75">G196*(1-G$121)</f>
        <v>8295.2611739146796</v>
      </c>
      <c r="H197" s="34">
        <f t="shared" si="75"/>
        <v>12611.701514392244</v>
      </c>
      <c r="I197" s="34">
        <f t="shared" si="75"/>
        <v>15431.898073278959</v>
      </c>
      <c r="J197" s="34">
        <f t="shared" si="75"/>
        <v>15431.898073278959</v>
      </c>
      <c r="K197" s="34">
        <f t="shared" si="75"/>
        <v>15431.898073278959</v>
      </c>
      <c r="L197" s="34">
        <f t="shared" si="75"/>
        <v>15474.177246082463</v>
      </c>
      <c r="M197" s="34">
        <f t="shared" si="75"/>
        <v>15431.898073278959</v>
      </c>
      <c r="N197" s="34">
        <f t="shared" si="75"/>
        <v>15431.898073278959</v>
      </c>
      <c r="O197" s="34">
        <f t="shared" si="75"/>
        <v>15431.898073278959</v>
      </c>
      <c r="P197" s="34">
        <f t="shared" si="75"/>
        <v>15474.177246082463</v>
      </c>
      <c r="Q197" s="34">
        <f t="shared" si="75"/>
        <v>15431.898073278959</v>
      </c>
      <c r="R197" s="34">
        <f t="shared" si="75"/>
        <v>15431.898073278959</v>
      </c>
      <c r="S197" s="34">
        <f t="shared" si="75"/>
        <v>0</v>
      </c>
      <c r="T197" s="34">
        <f t="shared" si="75"/>
        <v>0</v>
      </c>
      <c r="U197" s="34">
        <f t="shared" si="75"/>
        <v>0</v>
      </c>
      <c r="V197" s="34">
        <f>SUMPRODUCT($G$117:$U$117,G197:U197)</f>
        <v>175310.5017667035</v>
      </c>
    </row>
    <row r="198" spans="2:25">
      <c r="B198" s="27" t="s">
        <v>649</v>
      </c>
      <c r="C198" s="33" t="s">
        <v>650</v>
      </c>
      <c r="D198" s="33" t="s">
        <v>359</v>
      </c>
      <c r="E198" s="33" t="s">
        <v>137</v>
      </c>
      <c r="F198" s="33"/>
      <c r="G198" s="34">
        <f t="shared" ref="G198:U198" si="76">G196</f>
        <v>8468.0085483000003</v>
      </c>
      <c r="H198" s="34">
        <f t="shared" si="76"/>
        <v>12874.338009792</v>
      </c>
      <c r="I198" s="34">
        <f t="shared" si="76"/>
        <v>15753.264672599998</v>
      </c>
      <c r="J198" s="34">
        <f t="shared" si="76"/>
        <v>15753.264672599998</v>
      </c>
      <c r="K198" s="34">
        <f t="shared" si="76"/>
        <v>15753.264672599998</v>
      </c>
      <c r="L198" s="34">
        <f t="shared" si="76"/>
        <v>15796.424301839999</v>
      </c>
      <c r="M198" s="34">
        <f t="shared" si="76"/>
        <v>15753.264672599998</v>
      </c>
      <c r="N198" s="34">
        <f t="shared" si="76"/>
        <v>15753.264672599998</v>
      </c>
      <c r="O198" s="34">
        <f t="shared" si="76"/>
        <v>15753.264672599998</v>
      </c>
      <c r="P198" s="34">
        <f t="shared" si="76"/>
        <v>15796.424301839999</v>
      </c>
      <c r="Q198" s="34">
        <f t="shared" si="76"/>
        <v>15753.264672599998</v>
      </c>
      <c r="R198" s="34">
        <f t="shared" si="76"/>
        <v>15753.264672599998</v>
      </c>
      <c r="S198" s="34">
        <f t="shared" si="76"/>
        <v>0</v>
      </c>
      <c r="T198" s="34">
        <f t="shared" si="76"/>
        <v>0</v>
      </c>
      <c r="U198" s="34">
        <f t="shared" si="76"/>
        <v>0</v>
      </c>
      <c r="V198" s="34">
        <f>SUMPRODUCT($G$117:$U$117,G198:U198)</f>
        <v>178961.31254257195</v>
      </c>
    </row>
    <row r="199" spans="2:25">
      <c r="B199" s="27" t="s">
        <v>651</v>
      </c>
      <c r="C199" s="33" t="s">
        <v>652</v>
      </c>
      <c r="D199" s="33" t="s">
        <v>359</v>
      </c>
      <c r="E199" s="33" t="s">
        <v>140</v>
      </c>
      <c r="F199" s="33"/>
      <c r="G199" s="34">
        <f t="shared" ref="G199:U199" si="77">MIN(G197,G198)</f>
        <v>8295.2611739146796</v>
      </c>
      <c r="H199" s="34">
        <f t="shared" si="77"/>
        <v>12611.701514392244</v>
      </c>
      <c r="I199" s="34">
        <f t="shared" si="77"/>
        <v>15431.898073278959</v>
      </c>
      <c r="J199" s="34">
        <f t="shared" si="77"/>
        <v>15431.898073278959</v>
      </c>
      <c r="K199" s="34">
        <f t="shared" si="77"/>
        <v>15431.898073278959</v>
      </c>
      <c r="L199" s="34">
        <f t="shared" si="77"/>
        <v>15474.177246082463</v>
      </c>
      <c r="M199" s="34">
        <f t="shared" si="77"/>
        <v>15431.898073278959</v>
      </c>
      <c r="N199" s="34">
        <f t="shared" si="77"/>
        <v>15431.898073278959</v>
      </c>
      <c r="O199" s="34">
        <f t="shared" si="77"/>
        <v>15431.898073278959</v>
      </c>
      <c r="P199" s="34">
        <f t="shared" si="77"/>
        <v>15474.177246082463</v>
      </c>
      <c r="Q199" s="34">
        <f t="shared" si="77"/>
        <v>15431.898073278959</v>
      </c>
      <c r="R199" s="34">
        <f t="shared" si="77"/>
        <v>15431.898073278959</v>
      </c>
      <c r="S199" s="34">
        <f t="shared" si="77"/>
        <v>0</v>
      </c>
      <c r="T199" s="34">
        <f t="shared" si="77"/>
        <v>0</v>
      </c>
      <c r="U199" s="34">
        <f t="shared" si="77"/>
        <v>0</v>
      </c>
      <c r="V199" s="34">
        <f>SUMPRODUCT($G$117:$U$117,G199:U199)</f>
        <v>175310.5017667035</v>
      </c>
    </row>
    <row r="200" spans="2:25">
      <c r="B200" s="27" t="s">
        <v>221</v>
      </c>
      <c r="C200" s="33" t="s">
        <v>653</v>
      </c>
      <c r="D200" s="33" t="s">
        <v>398</v>
      </c>
      <c r="E200" s="33" t="s">
        <v>220</v>
      </c>
      <c r="F200" s="33"/>
      <c r="G200" s="40">
        <v>0.95</v>
      </c>
      <c r="H200" s="40">
        <v>0.94</v>
      </c>
      <c r="I200" s="40">
        <v>0.94</v>
      </c>
      <c r="J200" s="40">
        <v>0.94</v>
      </c>
      <c r="K200" s="40">
        <v>0.94</v>
      </c>
      <c r="L200" s="40">
        <v>0.94</v>
      </c>
      <c r="M200" s="40">
        <v>0.94</v>
      </c>
      <c r="N200" s="40">
        <v>0.94</v>
      </c>
      <c r="O200" s="40">
        <v>0.94</v>
      </c>
      <c r="P200" s="40">
        <v>0.94</v>
      </c>
      <c r="Q200" s="40">
        <v>0.94</v>
      </c>
      <c r="R200" s="40">
        <v>0.94</v>
      </c>
      <c r="S200" s="40">
        <v>0.94</v>
      </c>
      <c r="T200" s="40">
        <v>0.94</v>
      </c>
      <c r="U200" s="40">
        <v>0.94</v>
      </c>
      <c r="V200" s="33"/>
      <c r="Y200" s="50" t="s">
        <v>654</v>
      </c>
    </row>
    <row r="201" spans="2:25" ht="21">
      <c r="B201" s="27" t="s">
        <v>225</v>
      </c>
      <c r="C201" s="33" t="s">
        <v>655</v>
      </c>
      <c r="D201" s="33" t="s">
        <v>398</v>
      </c>
      <c r="E201" s="33" t="s">
        <v>224</v>
      </c>
      <c r="F201" s="33"/>
      <c r="G201" s="40">
        <v>0.9</v>
      </c>
      <c r="H201" s="40">
        <v>0.92</v>
      </c>
      <c r="I201" s="40">
        <v>0.92</v>
      </c>
      <c r="J201" s="40">
        <v>0.92</v>
      </c>
      <c r="K201" s="40">
        <v>0.92</v>
      </c>
      <c r="L201" s="40">
        <v>0.92</v>
      </c>
      <c r="M201" s="40">
        <v>0.92</v>
      </c>
      <c r="N201" s="40">
        <v>0.92</v>
      </c>
      <c r="O201" s="40">
        <v>0.92</v>
      </c>
      <c r="P201" s="40">
        <v>0.92</v>
      </c>
      <c r="Q201" s="40">
        <v>0.92</v>
      </c>
      <c r="R201" s="40">
        <v>0.92</v>
      </c>
      <c r="S201" s="40">
        <v>0.92</v>
      </c>
      <c r="T201" s="40">
        <v>0.92</v>
      </c>
      <c r="U201" s="40">
        <v>0.92</v>
      </c>
      <c r="V201" s="33"/>
      <c r="Y201" s="50" t="s">
        <v>656</v>
      </c>
    </row>
    <row r="202" spans="2:25">
      <c r="B202" s="30" t="s">
        <v>657</v>
      </c>
      <c r="C202" s="33" t="s">
        <v>658</v>
      </c>
      <c r="D202" s="33" t="s">
        <v>359</v>
      </c>
      <c r="E202" s="33" t="s">
        <v>143</v>
      </c>
      <c r="F202" s="33"/>
      <c r="G202" s="31">
        <f t="shared" ref="G202:U202" si="78">G199*N(G200)*N(G201)</f>
        <v>7092.4483036970505</v>
      </c>
      <c r="H202" s="31">
        <f t="shared" si="78"/>
        <v>10906.599469646413</v>
      </c>
      <c r="I202" s="31">
        <f t="shared" si="78"/>
        <v>13345.505453771644</v>
      </c>
      <c r="J202" s="31">
        <f t="shared" si="78"/>
        <v>13345.505453771644</v>
      </c>
      <c r="K202" s="31">
        <f t="shared" si="78"/>
        <v>13345.505453771644</v>
      </c>
      <c r="L202" s="31">
        <f t="shared" si="78"/>
        <v>13382.068482412113</v>
      </c>
      <c r="M202" s="31">
        <f t="shared" si="78"/>
        <v>13345.505453771644</v>
      </c>
      <c r="N202" s="31">
        <f t="shared" si="78"/>
        <v>13345.505453771644</v>
      </c>
      <c r="O202" s="31">
        <f t="shared" si="78"/>
        <v>13345.505453771644</v>
      </c>
      <c r="P202" s="31">
        <f t="shared" si="78"/>
        <v>13382.068482412113</v>
      </c>
      <c r="Q202" s="31">
        <f t="shared" si="78"/>
        <v>13345.505453771644</v>
      </c>
      <c r="R202" s="31">
        <f t="shared" si="78"/>
        <v>13345.505453771644</v>
      </c>
      <c r="S202" s="31">
        <f t="shared" si="78"/>
        <v>0</v>
      </c>
      <c r="T202" s="31">
        <f t="shared" si="78"/>
        <v>0</v>
      </c>
      <c r="U202" s="31">
        <f t="shared" si="78"/>
        <v>0</v>
      </c>
      <c r="V202" s="31">
        <f>SUMPRODUCT($G$117:$U$117,G202:U202)</f>
        <v>151527.22836834088</v>
      </c>
    </row>
    <row r="203" spans="2:25" ht="22.5">
      <c r="B203" s="27" t="s">
        <v>659</v>
      </c>
      <c r="C203" s="33" t="s">
        <v>660</v>
      </c>
      <c r="D203" s="33" t="s">
        <v>359</v>
      </c>
      <c r="E203" s="33" t="s">
        <v>146</v>
      </c>
      <c r="F203" s="33"/>
      <c r="G203" s="34">
        <f t="shared" ref="G203:U203" si="79">G198-G199</f>
        <v>172.74737438532065</v>
      </c>
      <c r="H203" s="34">
        <f t="shared" si="79"/>
        <v>262.63649539975631</v>
      </c>
      <c r="I203" s="34">
        <f t="shared" si="79"/>
        <v>321.36659932103976</v>
      </c>
      <c r="J203" s="34">
        <f t="shared" si="79"/>
        <v>321.36659932103976</v>
      </c>
      <c r="K203" s="34">
        <f t="shared" si="79"/>
        <v>321.36659932103976</v>
      </c>
      <c r="L203" s="34">
        <f t="shared" si="79"/>
        <v>322.24705575753615</v>
      </c>
      <c r="M203" s="34">
        <f t="shared" si="79"/>
        <v>321.36659932103976</v>
      </c>
      <c r="N203" s="34">
        <f t="shared" si="79"/>
        <v>321.36659932103976</v>
      </c>
      <c r="O203" s="34">
        <f t="shared" si="79"/>
        <v>321.36659932103976</v>
      </c>
      <c r="P203" s="34">
        <f t="shared" si="79"/>
        <v>322.24705575753615</v>
      </c>
      <c r="Q203" s="34">
        <f t="shared" si="79"/>
        <v>321.36659932103976</v>
      </c>
      <c r="R203" s="34">
        <f t="shared" si="79"/>
        <v>321.36659932103976</v>
      </c>
      <c r="S203" s="34">
        <f t="shared" si="79"/>
        <v>0</v>
      </c>
      <c r="T203" s="34">
        <f t="shared" si="79"/>
        <v>0</v>
      </c>
      <c r="U203" s="34">
        <f t="shared" si="79"/>
        <v>0</v>
      </c>
      <c r="V203" s="34">
        <f>SUMPRODUCT($G$117:$U$117,G203:U203)</f>
        <v>3650.8107758684673</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560</v>
      </c>
      <c r="H206" s="68">
        <v>610</v>
      </c>
      <c r="I206" s="68">
        <v>640</v>
      </c>
      <c r="J206" s="68">
        <v>640</v>
      </c>
      <c r="K206" s="68">
        <v>640</v>
      </c>
      <c r="L206" s="68">
        <v>640</v>
      </c>
      <c r="M206" s="68">
        <v>640</v>
      </c>
      <c r="N206" s="68">
        <v>640</v>
      </c>
      <c r="O206" s="68">
        <v>640</v>
      </c>
      <c r="P206" s="68">
        <v>640</v>
      </c>
      <c r="Q206" s="68">
        <v>640</v>
      </c>
      <c r="R206" s="68">
        <v>640</v>
      </c>
      <c r="S206" s="68">
        <v>640</v>
      </c>
      <c r="T206" s="68">
        <v>640</v>
      </c>
      <c r="U206" s="68">
        <v>640</v>
      </c>
      <c r="V206" s="43">
        <f t="shared" ref="V206:V217" si="81">SUMPRODUCT($G$117:$U$117,G206:U206)</f>
        <v>7570</v>
      </c>
      <c r="Y206" s="50" t="s">
        <v>664</v>
      </c>
    </row>
    <row r="207" spans="2:25" ht="21">
      <c r="B207" s="27" t="s">
        <v>665</v>
      </c>
      <c r="C207" s="33" t="s">
        <v>666</v>
      </c>
      <c r="D207" s="33" t="s">
        <v>359</v>
      </c>
      <c r="E207" s="33" t="s">
        <v>667</v>
      </c>
      <c r="F207" s="33"/>
      <c r="G207" s="34">
        <f t="shared" ref="G207:U207" si="82">G$117*N(G206)*$F$47</f>
        <v>728</v>
      </c>
      <c r="H207" s="34">
        <f t="shared" si="82"/>
        <v>793</v>
      </c>
      <c r="I207" s="34">
        <f t="shared" si="82"/>
        <v>832</v>
      </c>
      <c r="J207" s="34">
        <f t="shared" si="82"/>
        <v>832</v>
      </c>
      <c r="K207" s="34">
        <f t="shared" si="82"/>
        <v>832</v>
      </c>
      <c r="L207" s="34">
        <f t="shared" si="82"/>
        <v>832</v>
      </c>
      <c r="M207" s="34">
        <f t="shared" si="82"/>
        <v>832</v>
      </c>
      <c r="N207" s="34">
        <f t="shared" si="82"/>
        <v>832</v>
      </c>
      <c r="O207" s="34">
        <f t="shared" si="82"/>
        <v>832</v>
      </c>
      <c r="P207" s="34">
        <f t="shared" si="82"/>
        <v>832</v>
      </c>
      <c r="Q207" s="34">
        <f t="shared" si="82"/>
        <v>832</v>
      </c>
      <c r="R207" s="34">
        <f t="shared" si="82"/>
        <v>832</v>
      </c>
      <c r="S207" s="34">
        <f t="shared" si="82"/>
        <v>0</v>
      </c>
      <c r="T207" s="34">
        <f t="shared" si="82"/>
        <v>0</v>
      </c>
      <c r="U207" s="34">
        <f t="shared" si="82"/>
        <v>0</v>
      </c>
      <c r="V207" s="34">
        <f t="shared" si="81"/>
        <v>9841</v>
      </c>
    </row>
    <row r="208" spans="2:25">
      <c r="B208" s="27" t="s">
        <v>668</v>
      </c>
      <c r="C208" s="33"/>
      <c r="D208" s="33" t="s">
        <v>669</v>
      </c>
      <c r="E208" s="33" t="s">
        <v>155</v>
      </c>
      <c r="F208" s="33"/>
      <c r="G208" s="63">
        <v>0</v>
      </c>
      <c r="H208" s="63">
        <v>0</v>
      </c>
      <c r="I208" s="63">
        <v>0</v>
      </c>
      <c r="J208" s="63">
        <v>0</v>
      </c>
      <c r="K208" s="63">
        <v>0</v>
      </c>
      <c r="L208" s="63">
        <v>0</v>
      </c>
      <c r="M208" s="63">
        <v>0</v>
      </c>
      <c r="N208" s="63">
        <v>0</v>
      </c>
      <c r="O208" s="63">
        <v>0</v>
      </c>
      <c r="P208" s="63">
        <v>0</v>
      </c>
      <c r="Q208" s="63">
        <v>0</v>
      </c>
      <c r="R208" s="63">
        <v>0</v>
      </c>
      <c r="S208" s="63">
        <v>0</v>
      </c>
      <c r="T208" s="63">
        <v>0</v>
      </c>
      <c r="U208" s="63">
        <v>0</v>
      </c>
      <c r="V208" s="67">
        <f t="shared" si="81"/>
        <v>0</v>
      </c>
    </row>
    <row r="209" spans="2:25">
      <c r="B209" s="27" t="s">
        <v>670</v>
      </c>
      <c r="C209" s="33" t="s">
        <v>671</v>
      </c>
      <c r="D209" s="33" t="s">
        <v>359</v>
      </c>
      <c r="E209" s="33" t="s">
        <v>672</v>
      </c>
      <c r="F209" s="33"/>
      <c r="G209" s="34">
        <f t="shared" ref="G209:U209" si="83">G$117*N(G208)*$F$49/1000</f>
        <v>0</v>
      </c>
      <c r="H209" s="34">
        <f t="shared" si="83"/>
        <v>0</v>
      </c>
      <c r="I209" s="34">
        <f t="shared" si="83"/>
        <v>0</v>
      </c>
      <c r="J209" s="34">
        <f t="shared" si="83"/>
        <v>0</v>
      </c>
      <c r="K209" s="34">
        <f t="shared" si="83"/>
        <v>0</v>
      </c>
      <c r="L209" s="34">
        <f t="shared" si="83"/>
        <v>0</v>
      </c>
      <c r="M209" s="34">
        <f t="shared" si="83"/>
        <v>0</v>
      </c>
      <c r="N209" s="34">
        <f t="shared" si="83"/>
        <v>0</v>
      </c>
      <c r="O209" s="34">
        <f t="shared" si="83"/>
        <v>0</v>
      </c>
      <c r="P209" s="34">
        <f t="shared" si="83"/>
        <v>0</v>
      </c>
      <c r="Q209" s="34">
        <f t="shared" si="83"/>
        <v>0</v>
      </c>
      <c r="R209" s="34">
        <f t="shared" si="83"/>
        <v>0</v>
      </c>
      <c r="S209" s="34">
        <f t="shared" si="83"/>
        <v>0</v>
      </c>
      <c r="T209" s="34">
        <f t="shared" si="83"/>
        <v>0</v>
      </c>
      <c r="U209" s="34">
        <f t="shared" si="83"/>
        <v>0</v>
      </c>
      <c r="V209" s="34">
        <f t="shared" si="81"/>
        <v>0</v>
      </c>
    </row>
    <row r="210" spans="2:25">
      <c r="B210" s="27" t="s">
        <v>673</v>
      </c>
      <c r="C210" s="33" t="s">
        <v>674</v>
      </c>
      <c r="D210" s="33" t="s">
        <v>359</v>
      </c>
      <c r="E210" s="33" t="s">
        <v>153</v>
      </c>
      <c r="F210" s="33"/>
      <c r="G210" s="34">
        <f t="shared" ref="G210:U210" si="84">G207+G209</f>
        <v>728</v>
      </c>
      <c r="H210" s="34">
        <f t="shared" si="84"/>
        <v>793</v>
      </c>
      <c r="I210" s="34">
        <f t="shared" si="84"/>
        <v>832</v>
      </c>
      <c r="J210" s="34">
        <f t="shared" si="84"/>
        <v>832</v>
      </c>
      <c r="K210" s="34">
        <f t="shared" si="84"/>
        <v>832</v>
      </c>
      <c r="L210" s="34">
        <f t="shared" si="84"/>
        <v>832</v>
      </c>
      <c r="M210" s="34">
        <f t="shared" si="84"/>
        <v>832</v>
      </c>
      <c r="N210" s="34">
        <f t="shared" si="84"/>
        <v>832</v>
      </c>
      <c r="O210" s="34">
        <f t="shared" si="84"/>
        <v>832</v>
      </c>
      <c r="P210" s="34">
        <f t="shared" si="84"/>
        <v>832</v>
      </c>
      <c r="Q210" s="34">
        <f t="shared" si="84"/>
        <v>832</v>
      </c>
      <c r="R210" s="34">
        <f t="shared" si="84"/>
        <v>832</v>
      </c>
      <c r="S210" s="34">
        <f t="shared" si="84"/>
        <v>0</v>
      </c>
      <c r="T210" s="34">
        <f t="shared" si="84"/>
        <v>0</v>
      </c>
      <c r="U210" s="34">
        <f t="shared" si="84"/>
        <v>0</v>
      </c>
      <c r="V210" s="34">
        <f t="shared" si="81"/>
        <v>9841</v>
      </c>
    </row>
    <row r="211" spans="2:25" ht="21">
      <c r="B211" s="27" t="s">
        <v>675</v>
      </c>
      <c r="C211" s="33"/>
      <c r="D211" s="33" t="s">
        <v>669</v>
      </c>
      <c r="E211" s="33" t="s">
        <v>456</v>
      </c>
      <c r="F211" s="33"/>
      <c r="G211" s="63">
        <v>23516</v>
      </c>
      <c r="H211" s="63">
        <v>37625</v>
      </c>
      <c r="I211" s="63">
        <v>47032</v>
      </c>
      <c r="J211" s="63">
        <v>47032</v>
      </c>
      <c r="K211" s="63">
        <v>47032</v>
      </c>
      <c r="L211" s="63">
        <v>47032</v>
      </c>
      <c r="M211" s="63">
        <v>47032</v>
      </c>
      <c r="N211" s="63">
        <v>47032</v>
      </c>
      <c r="O211" s="63">
        <v>47032</v>
      </c>
      <c r="P211" s="63">
        <v>47032</v>
      </c>
      <c r="Q211" s="63">
        <v>47032</v>
      </c>
      <c r="R211" s="63">
        <v>47032</v>
      </c>
      <c r="S211" s="63">
        <v>47032</v>
      </c>
      <c r="T211" s="63">
        <v>47032</v>
      </c>
      <c r="U211" s="63">
        <v>47032</v>
      </c>
      <c r="V211" s="67">
        <f t="shared" si="81"/>
        <v>531461</v>
      </c>
      <c r="Y211" s="50" t="s">
        <v>788</v>
      </c>
    </row>
    <row r="212" spans="2:25" ht="21">
      <c r="B212" s="27" t="s">
        <v>676</v>
      </c>
      <c r="C212" s="33" t="s">
        <v>677</v>
      </c>
      <c r="D212" s="33" t="s">
        <v>359</v>
      </c>
      <c r="E212" s="33" t="s">
        <v>678</v>
      </c>
      <c r="F212" s="33"/>
      <c r="G212" s="34">
        <f t="shared" ref="G212:U212" si="85">IF($F$50="Manual, or electric on 100% RE",0,G$117*N(G211)*$F$52/1000)</f>
        <v>64.359054416799992</v>
      </c>
      <c r="H212" s="34">
        <f t="shared" si="85"/>
        <v>102.97284497499999</v>
      </c>
      <c r="I212" s="34">
        <f t="shared" si="85"/>
        <v>128.71810883359998</v>
      </c>
      <c r="J212" s="34">
        <f t="shared" si="85"/>
        <v>128.71810883359998</v>
      </c>
      <c r="K212" s="34">
        <f t="shared" si="85"/>
        <v>128.71810883359998</v>
      </c>
      <c r="L212" s="34">
        <f t="shared" si="85"/>
        <v>128.71810883359998</v>
      </c>
      <c r="M212" s="34">
        <f t="shared" si="85"/>
        <v>128.71810883359998</v>
      </c>
      <c r="N212" s="34">
        <f t="shared" si="85"/>
        <v>128.71810883359998</v>
      </c>
      <c r="O212" s="34">
        <f t="shared" si="85"/>
        <v>128.71810883359998</v>
      </c>
      <c r="P212" s="34">
        <f t="shared" si="85"/>
        <v>128.71810883359998</v>
      </c>
      <c r="Q212" s="34">
        <f t="shared" si="85"/>
        <v>128.71810883359998</v>
      </c>
      <c r="R212" s="34">
        <f t="shared" si="85"/>
        <v>128.71810883359998</v>
      </c>
      <c r="S212" s="34">
        <f t="shared" si="85"/>
        <v>0</v>
      </c>
      <c r="T212" s="34">
        <f t="shared" si="85"/>
        <v>0</v>
      </c>
      <c r="U212" s="34">
        <f t="shared" si="85"/>
        <v>0</v>
      </c>
      <c r="V212" s="34">
        <f t="shared" si="81"/>
        <v>1454.5129877277998</v>
      </c>
    </row>
    <row r="213" spans="2:25" ht="42">
      <c r="B213" s="27" t="s">
        <v>679</v>
      </c>
      <c r="C213" s="33" t="s">
        <v>680</v>
      </c>
      <c r="D213" s="33" t="s">
        <v>359</v>
      </c>
      <c r="E213" s="33" t="s">
        <v>681</v>
      </c>
      <c r="F213" s="33"/>
      <c r="G213" s="69">
        <v>352.9</v>
      </c>
      <c r="H213" s="69">
        <v>566.20000000000005</v>
      </c>
      <c r="I213" s="69">
        <v>705.8</v>
      </c>
      <c r="J213" s="69">
        <v>705.8</v>
      </c>
      <c r="K213" s="69">
        <v>705.8</v>
      </c>
      <c r="L213" s="69">
        <v>707.7</v>
      </c>
      <c r="M213" s="69">
        <v>705.8</v>
      </c>
      <c r="N213" s="69">
        <v>705.8</v>
      </c>
      <c r="O213" s="69">
        <v>705.8</v>
      </c>
      <c r="P213" s="69">
        <v>707.7</v>
      </c>
      <c r="Q213" s="69">
        <v>705.8</v>
      </c>
      <c r="R213" s="69">
        <v>705.8</v>
      </c>
      <c r="S213" s="69">
        <v>705.8</v>
      </c>
      <c r="T213" s="69">
        <v>707.7</v>
      </c>
      <c r="U213" s="69">
        <v>705.8</v>
      </c>
      <c r="V213" s="34">
        <f t="shared" si="81"/>
        <v>7980.9000000000005</v>
      </c>
      <c r="Y213" s="50" t="s">
        <v>789</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0</v>
      </c>
      <c r="H215" s="34">
        <f t="shared" si="86"/>
        <v>0</v>
      </c>
      <c r="I215" s="34">
        <f t="shared" si="86"/>
        <v>0</v>
      </c>
      <c r="J215" s="34">
        <f t="shared" si="86"/>
        <v>0</v>
      </c>
      <c r="K215" s="34">
        <f t="shared" si="86"/>
        <v>0</v>
      </c>
      <c r="L215" s="34">
        <f t="shared" si="86"/>
        <v>0</v>
      </c>
      <c r="M215" s="34">
        <f t="shared" si="86"/>
        <v>0</v>
      </c>
      <c r="N215" s="34">
        <f t="shared" si="86"/>
        <v>0</v>
      </c>
      <c r="O215" s="34">
        <f t="shared" si="86"/>
        <v>0</v>
      </c>
      <c r="P215" s="34">
        <f t="shared" si="86"/>
        <v>0</v>
      </c>
      <c r="Q215" s="34">
        <f t="shared" si="86"/>
        <v>0</v>
      </c>
      <c r="R215" s="34">
        <f t="shared" si="86"/>
        <v>0</v>
      </c>
      <c r="S215" s="34">
        <f t="shared" si="86"/>
        <v>0</v>
      </c>
      <c r="T215" s="34">
        <f t="shared" si="86"/>
        <v>0</v>
      </c>
      <c r="U215" s="34">
        <f t="shared" si="86"/>
        <v>0</v>
      </c>
      <c r="V215" s="34">
        <f t="shared" si="81"/>
        <v>0</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1083.1376585142857</v>
      </c>
      <c r="H216" s="34">
        <f t="shared" si="87"/>
        <v>1086.1051589485714</v>
      </c>
      <c r="I216" s="34">
        <f t="shared" si="87"/>
        <v>1083.1376585142857</v>
      </c>
      <c r="J216" s="34">
        <f t="shared" si="87"/>
        <v>1083.1376585142857</v>
      </c>
      <c r="K216" s="34">
        <f t="shared" si="87"/>
        <v>1083.1376585142857</v>
      </c>
      <c r="L216" s="34">
        <f t="shared" si="87"/>
        <v>1086.1051589485714</v>
      </c>
      <c r="M216" s="34">
        <f t="shared" si="87"/>
        <v>1083.1376585142857</v>
      </c>
      <c r="N216" s="34">
        <f t="shared" si="87"/>
        <v>1083.1376585142857</v>
      </c>
      <c r="O216" s="34">
        <f t="shared" si="87"/>
        <v>1083.1376585142857</v>
      </c>
      <c r="P216" s="34">
        <f t="shared" si="87"/>
        <v>1086.1051589485714</v>
      </c>
      <c r="Q216" s="34">
        <f t="shared" si="87"/>
        <v>1083.1376585142857</v>
      </c>
      <c r="R216" s="34">
        <f t="shared" si="87"/>
        <v>1083.1376585142857</v>
      </c>
      <c r="S216" s="34">
        <f t="shared" si="87"/>
        <v>0</v>
      </c>
      <c r="T216" s="34">
        <f t="shared" si="87"/>
        <v>0</v>
      </c>
      <c r="U216" s="34">
        <f t="shared" si="87"/>
        <v>0</v>
      </c>
      <c r="V216" s="34">
        <f t="shared" si="81"/>
        <v>13006.554403474289</v>
      </c>
    </row>
    <row r="217" spans="2:25" ht="21">
      <c r="B217" s="27" t="s">
        <v>692</v>
      </c>
      <c r="C217" s="33"/>
      <c r="D217" s="33" t="s">
        <v>693</v>
      </c>
      <c r="E217" s="33" t="s">
        <v>257</v>
      </c>
      <c r="F217" s="33"/>
      <c r="G217" s="63">
        <v>1095000</v>
      </c>
      <c r="H217" s="63">
        <v>1095000</v>
      </c>
      <c r="I217" s="63">
        <v>1095000</v>
      </c>
      <c r="J217" s="63">
        <v>1095000</v>
      </c>
      <c r="K217" s="63">
        <v>1095000</v>
      </c>
      <c r="L217" s="63">
        <v>1095000</v>
      </c>
      <c r="M217" s="63">
        <v>1095000</v>
      </c>
      <c r="N217" s="63">
        <v>1095000</v>
      </c>
      <c r="O217" s="63">
        <v>1095000</v>
      </c>
      <c r="P217" s="63">
        <v>1095000</v>
      </c>
      <c r="Q217" s="63">
        <v>1095000</v>
      </c>
      <c r="R217" s="63">
        <v>1095000</v>
      </c>
      <c r="S217" s="63">
        <v>1095000</v>
      </c>
      <c r="T217" s="63">
        <v>1095000</v>
      </c>
      <c r="U217" s="63">
        <v>1095000</v>
      </c>
      <c r="V217" s="67">
        <f t="shared" si="81"/>
        <v>13140000</v>
      </c>
      <c r="Y217" s="50" t="s">
        <v>790</v>
      </c>
    </row>
    <row r="218" spans="2:25" ht="22.5">
      <c r="B218" s="27" t="s">
        <v>695</v>
      </c>
      <c r="C218" s="33"/>
      <c r="D218" s="33" t="s">
        <v>696</v>
      </c>
      <c r="E218" s="33" t="s">
        <v>257</v>
      </c>
      <c r="F218" s="33"/>
      <c r="G218" s="40">
        <v>0.03</v>
      </c>
      <c r="H218" s="40">
        <v>0.03</v>
      </c>
      <c r="I218" s="40">
        <v>0.03</v>
      </c>
      <c r="J218" s="40">
        <v>0.03</v>
      </c>
      <c r="K218" s="40">
        <v>0.03</v>
      </c>
      <c r="L218" s="40">
        <v>0.03</v>
      </c>
      <c r="M218" s="40">
        <v>0.03</v>
      </c>
      <c r="N218" s="40">
        <v>0.03</v>
      </c>
      <c r="O218" s="40">
        <v>0.03</v>
      </c>
      <c r="P218" s="40">
        <v>0.03</v>
      </c>
      <c r="Q218" s="40">
        <v>0.03</v>
      </c>
      <c r="R218" s="40">
        <v>0.03</v>
      </c>
      <c r="S218" s="40">
        <v>0.03</v>
      </c>
      <c r="T218" s="40">
        <v>0.03</v>
      </c>
      <c r="U218" s="40">
        <v>0.03</v>
      </c>
      <c r="V218" s="33"/>
    </row>
    <row r="219" spans="2:25">
      <c r="B219" s="27" t="s">
        <v>697</v>
      </c>
      <c r="C219" s="33"/>
      <c r="D219" s="33" t="s">
        <v>359</v>
      </c>
      <c r="E219" s="33" t="s">
        <v>156</v>
      </c>
      <c r="F219" s="33"/>
      <c r="G219" s="34">
        <f t="shared" ref="G219:U219" si="88">G$117*N(G217)*N(G218)*$F$25*$F$55*$F$30/1000</f>
        <v>60.706799999999994</v>
      </c>
      <c r="H219" s="34">
        <f t="shared" si="88"/>
        <v>60.706799999999994</v>
      </c>
      <c r="I219" s="34">
        <f t="shared" si="88"/>
        <v>60.706799999999994</v>
      </c>
      <c r="J219" s="34">
        <f t="shared" si="88"/>
        <v>60.706799999999994</v>
      </c>
      <c r="K219" s="34">
        <f t="shared" si="88"/>
        <v>60.706799999999994</v>
      </c>
      <c r="L219" s="34">
        <f t="shared" si="88"/>
        <v>60.706799999999994</v>
      </c>
      <c r="M219" s="34">
        <f t="shared" si="88"/>
        <v>60.706799999999994</v>
      </c>
      <c r="N219" s="34">
        <f t="shared" si="88"/>
        <v>60.706799999999994</v>
      </c>
      <c r="O219" s="34">
        <f t="shared" si="88"/>
        <v>60.706799999999994</v>
      </c>
      <c r="P219" s="34">
        <f t="shared" si="88"/>
        <v>60.706799999999994</v>
      </c>
      <c r="Q219" s="34">
        <f t="shared" si="88"/>
        <v>60.706799999999994</v>
      </c>
      <c r="R219" s="34">
        <f t="shared" si="88"/>
        <v>60.706799999999994</v>
      </c>
      <c r="S219" s="34">
        <f t="shared" si="88"/>
        <v>0</v>
      </c>
      <c r="T219" s="34">
        <f t="shared" si="88"/>
        <v>0</v>
      </c>
      <c r="U219" s="34">
        <f t="shared" si="88"/>
        <v>0</v>
      </c>
      <c r="V219" s="34">
        <f>SUMPRODUCT($G$117:$U$117,G219:U219)</f>
        <v>728.48160000000007</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60.706799999999994</v>
      </c>
      <c r="H221" s="34">
        <f t="shared" si="89"/>
        <v>60.706799999999994</v>
      </c>
      <c r="I221" s="34">
        <f t="shared" si="89"/>
        <v>60.706799999999994</v>
      </c>
      <c r="J221" s="34">
        <f t="shared" si="89"/>
        <v>60.706799999999994</v>
      </c>
      <c r="K221" s="34">
        <f t="shared" si="89"/>
        <v>60.706799999999994</v>
      </c>
      <c r="L221" s="34">
        <f t="shared" si="89"/>
        <v>60.706799999999994</v>
      </c>
      <c r="M221" s="34">
        <f t="shared" si="89"/>
        <v>60.706799999999994</v>
      </c>
      <c r="N221" s="34">
        <f t="shared" si="89"/>
        <v>60.706799999999994</v>
      </c>
      <c r="O221" s="34">
        <f t="shared" si="89"/>
        <v>60.706799999999994</v>
      </c>
      <c r="P221" s="34">
        <f t="shared" si="89"/>
        <v>60.706799999999994</v>
      </c>
      <c r="Q221" s="34">
        <f t="shared" si="89"/>
        <v>60.706799999999994</v>
      </c>
      <c r="R221" s="34">
        <f t="shared" si="89"/>
        <v>60.706799999999994</v>
      </c>
      <c r="S221" s="34">
        <f t="shared" si="89"/>
        <v>0</v>
      </c>
      <c r="T221" s="34">
        <f t="shared" si="89"/>
        <v>0</v>
      </c>
      <c r="U221" s="34">
        <f t="shared" si="89"/>
        <v>0</v>
      </c>
      <c r="V221" s="34">
        <f>SUMPRODUCT($G$117:$U$117,G221:U221)</f>
        <v>728.48160000000007</v>
      </c>
    </row>
    <row r="222" spans="2:25">
      <c r="B222" s="30" t="s">
        <v>701</v>
      </c>
      <c r="C222" s="33" t="s">
        <v>702</v>
      </c>
      <c r="D222" s="33" t="s">
        <v>359</v>
      </c>
      <c r="E222" s="33" t="s">
        <v>149</v>
      </c>
      <c r="F222" s="33"/>
      <c r="G222" s="31">
        <f t="shared" ref="G222:U222" si="90">G210+G212+G$117*(N(G213)+N(G214))+G215+G216+G221</f>
        <v>2289.1035129310858</v>
      </c>
      <c r="H222" s="31">
        <f t="shared" si="90"/>
        <v>2608.9848039235712</v>
      </c>
      <c r="I222" s="31">
        <f t="shared" si="90"/>
        <v>2810.3625673478855</v>
      </c>
      <c r="J222" s="31">
        <f t="shared" si="90"/>
        <v>2810.3625673478855</v>
      </c>
      <c r="K222" s="31">
        <f t="shared" si="90"/>
        <v>2810.3625673478855</v>
      </c>
      <c r="L222" s="31">
        <f t="shared" si="90"/>
        <v>2815.2300677821713</v>
      </c>
      <c r="M222" s="31">
        <f t="shared" si="90"/>
        <v>2810.3625673478855</v>
      </c>
      <c r="N222" s="31">
        <f t="shared" si="90"/>
        <v>2810.3625673478855</v>
      </c>
      <c r="O222" s="31">
        <f t="shared" si="90"/>
        <v>2810.3625673478855</v>
      </c>
      <c r="P222" s="31">
        <f t="shared" si="90"/>
        <v>2815.2300677821713</v>
      </c>
      <c r="Q222" s="31">
        <f t="shared" si="90"/>
        <v>2810.3625673478855</v>
      </c>
      <c r="R222" s="31">
        <f t="shared" si="90"/>
        <v>2810.3625673478855</v>
      </c>
      <c r="S222" s="31">
        <f t="shared" si="90"/>
        <v>0</v>
      </c>
      <c r="T222" s="31">
        <f t="shared" si="90"/>
        <v>0</v>
      </c>
      <c r="U222" s="31">
        <f t="shared" si="90"/>
        <v>0</v>
      </c>
      <c r="V222" s="31">
        <f>SUMPRODUCT($G$117:$U$117,G222:U222)</f>
        <v>33011.44899120208</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FS dewatering and composting works (RC)</v>
      </c>
      <c r="C225" s="33" t="str">
        <f>IF($G$101="","",$G$101)</f>
        <v>Tier 3</v>
      </c>
      <c r="D225" s="33" t="s">
        <v>359</v>
      </c>
      <c r="E225" s="33" t="s">
        <v>174</v>
      </c>
      <c r="F225" s="33"/>
      <c r="G225" s="34">
        <f t="shared" ref="G225:U225" si="92">IF(OR(G$117=0,$G$101="",N($G$107)=0),0,IF($G$101="Tier 1",IF(AND(G$114&gt;=$G$108,IF(N($G$109)&gt;0,MOD(G$114-$G$108,$G$109)=0,G$114=$G$108)),$G$107,0),$G$107/($G$110*365)*MAX(0,MIN(G$119+1,$G$111+$G$110*365)-MAX(G$118,$G$111))))</f>
        <v>72</v>
      </c>
      <c r="H225" s="34">
        <f t="shared" si="92"/>
        <v>72.197260273972603</v>
      </c>
      <c r="I225" s="34">
        <f t="shared" si="92"/>
        <v>72</v>
      </c>
      <c r="J225" s="34">
        <f t="shared" si="92"/>
        <v>72</v>
      </c>
      <c r="K225" s="34">
        <f t="shared" si="92"/>
        <v>71.802739726027397</v>
      </c>
      <c r="L225" s="34">
        <f t="shared" si="92"/>
        <v>0</v>
      </c>
      <c r="M225" s="34">
        <f t="shared" si="92"/>
        <v>0</v>
      </c>
      <c r="N225" s="34">
        <f t="shared" si="92"/>
        <v>0</v>
      </c>
      <c r="O225" s="34">
        <f t="shared" si="92"/>
        <v>0</v>
      </c>
      <c r="P225" s="34">
        <f t="shared" si="92"/>
        <v>0</v>
      </c>
      <c r="Q225" s="34">
        <f t="shared" si="92"/>
        <v>0</v>
      </c>
      <c r="R225" s="34">
        <f t="shared" si="92"/>
        <v>0</v>
      </c>
      <c r="S225" s="34">
        <f t="shared" si="92"/>
        <v>0</v>
      </c>
      <c r="T225" s="34">
        <f t="shared" si="92"/>
        <v>0</v>
      </c>
      <c r="U225" s="34">
        <f t="shared" si="92"/>
        <v>0</v>
      </c>
      <c r="V225" s="34">
        <f t="shared" ref="V225:V240" si="93">SUMPRODUCT($G$117:$U$117,G225:U225)</f>
        <v>360</v>
      </c>
      <c r="W225" s="34">
        <f t="shared" ref="W225:W232" si="94">IF($F$44&gt;0,SUMPRODUCT(($G$114:$U$114&lt;=$F$44)*(G225:U225)),0)</f>
        <v>0</v>
      </c>
      <c r="X225" s="34">
        <f>IF(AND($F$44&gt;0,$G$101&lt;&gt;"",$G$101&lt;&gt;"Tier 1",N($G$108)&lt;=$F$44),$G$107-W225,0)</f>
        <v>0</v>
      </c>
    </row>
    <row r="226" spans="2:25">
      <c r="B226" s="27" t="str">
        <f>"Item 2: "&amp;IF($H$100="","not used",$H$100)</f>
        <v>Item 2: Wastewater treatment plant (RC)</v>
      </c>
      <c r="C226" s="33" t="str">
        <f>IF($H$101="","",$H$101)</f>
        <v>Tier 3</v>
      </c>
      <c r="D226" s="33" t="s">
        <v>359</v>
      </c>
      <c r="E226" s="33" t="s">
        <v>174</v>
      </c>
      <c r="F226" s="33"/>
      <c r="G226" s="34">
        <f t="shared" ref="G226:U226" si="95">IF(OR(G$117=0,$H$101="",N($H$107)=0),0,IF($H$101="Tier 1",IF(AND(G$114&gt;=$H$108,IF(N($H$109)&gt;0,MOD(G$114-$H$108,$H$109)=0,G$114=$H$108)),$H$107,0),$H$107/($H$110*365)*MAX(0,MIN(G$119+1,$H$111+$H$110*365)-MAX(G$118,$H$111))))</f>
        <v>90</v>
      </c>
      <c r="H226" s="34">
        <f t="shared" si="95"/>
        <v>90.246575342465746</v>
      </c>
      <c r="I226" s="34">
        <f t="shared" si="95"/>
        <v>90</v>
      </c>
      <c r="J226" s="34">
        <f t="shared" si="95"/>
        <v>90</v>
      </c>
      <c r="K226" s="34">
        <f t="shared" si="95"/>
        <v>89.753424657534239</v>
      </c>
      <c r="L226" s="34">
        <f t="shared" si="95"/>
        <v>0</v>
      </c>
      <c r="M226" s="34">
        <f t="shared" si="95"/>
        <v>0</v>
      </c>
      <c r="N226" s="34">
        <f t="shared" si="95"/>
        <v>0</v>
      </c>
      <c r="O226" s="34">
        <f t="shared" si="95"/>
        <v>0</v>
      </c>
      <c r="P226" s="34">
        <f t="shared" si="95"/>
        <v>0</v>
      </c>
      <c r="Q226" s="34">
        <f t="shared" si="95"/>
        <v>0</v>
      </c>
      <c r="R226" s="34">
        <f t="shared" si="95"/>
        <v>0</v>
      </c>
      <c r="S226" s="34">
        <f t="shared" si="95"/>
        <v>0</v>
      </c>
      <c r="T226" s="34">
        <f t="shared" si="95"/>
        <v>0</v>
      </c>
      <c r="U226" s="34">
        <f t="shared" si="95"/>
        <v>0</v>
      </c>
      <c r="V226" s="34">
        <f t="shared" si="93"/>
        <v>450</v>
      </c>
      <c r="W226" s="34">
        <f t="shared" si="94"/>
        <v>0</v>
      </c>
      <c r="X226" s="34">
        <f>IF(AND($F$44&gt;0,$H$101&lt;&gt;"",$H$101&lt;&gt;"Tier 1",N($H$108)&lt;=$F$44),$H$107-W226,0)</f>
        <v>0</v>
      </c>
    </row>
    <row r="227" spans="2:25">
      <c r="B227" s="27" t="str">
        <f>"Item 3: "&amp;IF($I$100="","not used",$I$100)</f>
        <v>Item 3: Dewatering presses</v>
      </c>
      <c r="C227" s="33" t="str">
        <f>IF($I$101="","",$I$101)</f>
        <v>Tier 3</v>
      </c>
      <c r="D227" s="33" t="s">
        <v>359</v>
      </c>
      <c r="E227" s="33" t="s">
        <v>174</v>
      </c>
      <c r="F227" s="33"/>
      <c r="G227" s="34">
        <f t="shared" ref="G227:U227" si="96">IF(OR(G$117=0,$I$101="",N($I$107)=0),0,IF($I$101="Tier 1",IF(AND(G$114&gt;=$I$108,IF(N($I$109)&gt;0,MOD(G$114-$I$108,$I$109)=0,G$114=$I$108)),$I$107,0),$I$107/($I$110*365)*MAX(0,MIN(G$119+1,$I$111+$I$110*365)-MAX(G$118,$I$111))))</f>
        <v>14.64</v>
      </c>
      <c r="H227" s="34">
        <f t="shared" si="96"/>
        <v>14.680109589041097</v>
      </c>
      <c r="I227" s="34">
        <f t="shared" si="96"/>
        <v>14.64</v>
      </c>
      <c r="J227" s="34">
        <f t="shared" si="96"/>
        <v>14.64</v>
      </c>
      <c r="K227" s="34">
        <f t="shared" si="96"/>
        <v>14.599890410958904</v>
      </c>
      <c r="L227" s="34">
        <f t="shared" si="96"/>
        <v>0</v>
      </c>
      <c r="M227" s="34">
        <f t="shared" si="96"/>
        <v>0</v>
      </c>
      <c r="N227" s="34">
        <f t="shared" si="96"/>
        <v>0</v>
      </c>
      <c r="O227" s="34">
        <f t="shared" si="96"/>
        <v>0</v>
      </c>
      <c r="P227" s="34">
        <f t="shared" si="96"/>
        <v>0</v>
      </c>
      <c r="Q227" s="34">
        <f t="shared" si="96"/>
        <v>0</v>
      </c>
      <c r="R227" s="34">
        <f t="shared" si="96"/>
        <v>0</v>
      </c>
      <c r="S227" s="34">
        <f t="shared" si="96"/>
        <v>0</v>
      </c>
      <c r="T227" s="34">
        <f t="shared" si="96"/>
        <v>0</v>
      </c>
      <c r="U227" s="34">
        <f t="shared" si="96"/>
        <v>0</v>
      </c>
      <c r="V227" s="34">
        <f t="shared" si="93"/>
        <v>73.2</v>
      </c>
      <c r="W227" s="34">
        <f t="shared" si="94"/>
        <v>0</v>
      </c>
      <c r="X227" s="34">
        <f>IF(AND($F$44&gt;0,$I$101&lt;&gt;"",$I$101&lt;&gt;"Tier 1",N($I$108)&lt;=$F$44),$I$107-W227,0)</f>
        <v>0</v>
      </c>
    </row>
    <row r="228" spans="2:25">
      <c r="B228" s="27" t="str">
        <f>"Item 4: "&amp;IF($J$100="","not used",$J$100)</f>
        <v>Item 4: Vacuum and transfer trucks</v>
      </c>
      <c r="C228" s="33" t="str">
        <f>IF($J$101="","",$J$101)</f>
        <v>Tier 3</v>
      </c>
      <c r="D228" s="33" t="s">
        <v>359</v>
      </c>
      <c r="E228" s="33" t="s">
        <v>174</v>
      </c>
      <c r="F228" s="33"/>
      <c r="G228" s="34">
        <f t="shared" ref="G228:U228" si="97">IF(OR(G$117=0,$J$101="",N($J$107)=0),0,IF($J$101="Tier 1",IF(AND(G$114&gt;=$J$108,IF(N($J$109)&gt;0,MOD(G$114-$J$108,$J$109)=0,G$114=$J$108)),$J$107,0),$J$107/($J$110*365)*MAX(0,MIN(G$119+1,$J$111+$J$110*365)-MAX(G$118,$J$111))))</f>
        <v>46.08</v>
      </c>
      <c r="H228" s="34">
        <f t="shared" si="97"/>
        <v>46.206246575342462</v>
      </c>
      <c r="I228" s="34">
        <f t="shared" si="97"/>
        <v>46.08</v>
      </c>
      <c r="J228" s="34">
        <f t="shared" si="97"/>
        <v>46.08</v>
      </c>
      <c r="K228" s="34">
        <f t="shared" si="97"/>
        <v>45.953753424657535</v>
      </c>
      <c r="L228" s="34">
        <f t="shared" si="97"/>
        <v>0</v>
      </c>
      <c r="M228" s="34">
        <f t="shared" si="97"/>
        <v>0</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230.39999999999998</v>
      </c>
      <c r="W228" s="34">
        <f t="shared" si="94"/>
        <v>0</v>
      </c>
      <c r="X228" s="34">
        <f>IF(AND($F$44&gt;0,$J$101&lt;&gt;"",$J$101&lt;&gt;"Tier 1",N($J$108)&lt;=$F$44),$J$107-W228,0)</f>
        <v>0</v>
      </c>
    </row>
    <row r="229" spans="2:25">
      <c r="B229" s="27" t="str">
        <f>"Item 5: "&amp;IF($K$100="","not used",$K$100)</f>
        <v>Item 5: CBS containers, batch 1</v>
      </c>
      <c r="C229" s="33" t="str">
        <f>IF($K$101="","",$K$101)</f>
        <v>Tier 1</v>
      </c>
      <c r="D229" s="33" t="s">
        <v>359</v>
      </c>
      <c r="E229" s="33" t="s">
        <v>174</v>
      </c>
      <c r="F229" s="33"/>
      <c r="G229" s="34">
        <f t="shared" ref="G229:U229" si="98">IF(OR(G$117=0,$K$101="",N($K$107)=0),0,IF($K$101="Tier 1",IF(AND(G$114&gt;=$K$108,IF(N($K$109)&gt;0,MOD(G$114-$K$108,$K$109)=0,G$114=$K$108)),$K$107,0),$K$107/($K$110*365)*MAX(0,MIN(G$119+1,$K$111+$K$110*365)-MAX(G$118,$K$111))))</f>
        <v>600</v>
      </c>
      <c r="H229" s="34">
        <f t="shared" si="98"/>
        <v>0</v>
      </c>
      <c r="I229" s="34">
        <f t="shared" si="98"/>
        <v>0</v>
      </c>
      <c r="J229" s="34">
        <f t="shared" si="98"/>
        <v>600</v>
      </c>
      <c r="K229" s="34">
        <f t="shared" si="98"/>
        <v>0</v>
      </c>
      <c r="L229" s="34">
        <f t="shared" si="98"/>
        <v>0</v>
      </c>
      <c r="M229" s="34">
        <f t="shared" si="98"/>
        <v>600</v>
      </c>
      <c r="N229" s="34">
        <f t="shared" si="98"/>
        <v>0</v>
      </c>
      <c r="O229" s="34">
        <f t="shared" si="98"/>
        <v>0</v>
      </c>
      <c r="P229" s="34">
        <f t="shared" si="98"/>
        <v>600</v>
      </c>
      <c r="Q229" s="34">
        <f t="shared" si="98"/>
        <v>0</v>
      </c>
      <c r="R229" s="34">
        <f t="shared" si="98"/>
        <v>0</v>
      </c>
      <c r="S229" s="34">
        <f t="shared" si="98"/>
        <v>0</v>
      </c>
      <c r="T229" s="34">
        <f t="shared" si="98"/>
        <v>0</v>
      </c>
      <c r="U229" s="34">
        <f t="shared" si="98"/>
        <v>0</v>
      </c>
      <c r="V229" s="34">
        <f t="shared" si="93"/>
        <v>2400</v>
      </c>
      <c r="W229" s="34">
        <f t="shared" si="94"/>
        <v>0</v>
      </c>
      <c r="X229" s="34">
        <f>IF(AND($F$44&gt;0,$K$101&lt;&gt;"",$K$101&lt;&gt;"Tier 1",N($K$108)&lt;=$F$44),$K$107-W229,0)</f>
        <v>0</v>
      </c>
    </row>
    <row r="230" spans="2:25">
      <c r="B230" s="27" t="str">
        <f>"Item 6: "&amp;IF($L$100="","not used",$L$100)</f>
        <v>Item 6: CBS containers, batch 2</v>
      </c>
      <c r="C230" s="33" t="str">
        <f>IF($L$101="","",$L$101)</f>
        <v>Tier 1</v>
      </c>
      <c r="D230" s="33" t="s">
        <v>359</v>
      </c>
      <c r="E230" s="33" t="s">
        <v>174</v>
      </c>
      <c r="F230" s="33"/>
      <c r="G230" s="34">
        <f t="shared" ref="G230:U230" si="99">IF(OR(G$117=0,$L$101="",N($L$107)=0),0,IF($L$101="Tier 1",IF(AND(G$114&gt;=$L$108,IF(N($L$109)&gt;0,MOD(G$114-$L$108,$L$109)=0,G$114=$L$108)),$L$107,0),$L$107/($L$110*365)*MAX(0,MIN(G$119+1,$L$111+$L$110*365)-MAX(G$118,$L$111))))</f>
        <v>0</v>
      </c>
      <c r="H230" s="34">
        <f t="shared" si="99"/>
        <v>360</v>
      </c>
      <c r="I230" s="34">
        <f t="shared" si="99"/>
        <v>0</v>
      </c>
      <c r="J230" s="34">
        <f t="shared" si="99"/>
        <v>0</v>
      </c>
      <c r="K230" s="34">
        <f t="shared" si="99"/>
        <v>360</v>
      </c>
      <c r="L230" s="34">
        <f t="shared" si="99"/>
        <v>0</v>
      </c>
      <c r="M230" s="34">
        <f t="shared" si="99"/>
        <v>0</v>
      </c>
      <c r="N230" s="34">
        <f t="shared" si="99"/>
        <v>360</v>
      </c>
      <c r="O230" s="34">
        <f t="shared" si="99"/>
        <v>0</v>
      </c>
      <c r="P230" s="34">
        <f t="shared" si="99"/>
        <v>0</v>
      </c>
      <c r="Q230" s="34">
        <f t="shared" si="99"/>
        <v>360</v>
      </c>
      <c r="R230" s="34">
        <f t="shared" si="99"/>
        <v>0</v>
      </c>
      <c r="S230" s="34">
        <f t="shared" si="99"/>
        <v>0</v>
      </c>
      <c r="T230" s="34">
        <f t="shared" si="99"/>
        <v>0</v>
      </c>
      <c r="U230" s="34">
        <f t="shared" si="99"/>
        <v>0</v>
      </c>
      <c r="V230" s="34">
        <f t="shared" si="93"/>
        <v>1440</v>
      </c>
      <c r="W230" s="34">
        <f t="shared" si="94"/>
        <v>0</v>
      </c>
      <c r="X230" s="34">
        <f>IF(AND($F$44&gt;0,$L$101&lt;&gt;"",$L$101&lt;&gt;"Tier 1",N($L$108)&lt;=$F$44),$L$107-W230,0)</f>
        <v>0</v>
      </c>
    </row>
    <row r="231" spans="2:25">
      <c r="B231" s="27" t="str">
        <f>"Item 7: "&amp;IF($M$100="","not used",$M$100)</f>
        <v>Item 7: CBS containers, batch 3</v>
      </c>
      <c r="C231" s="33" t="str">
        <f>IF($M$101="","",$M$101)</f>
        <v>Tier 1</v>
      </c>
      <c r="D231" s="33" t="s">
        <v>359</v>
      </c>
      <c r="E231" s="33" t="s">
        <v>174</v>
      </c>
      <c r="F231" s="33"/>
      <c r="G231" s="34">
        <f t="shared" ref="G231:U231" si="100">IF(OR(G$117=0,$M$101="",N($M$107)=0),0,IF($M$101="Tier 1",IF(AND(G$114&gt;=$M$108,IF(N($M$109)&gt;0,MOD(G$114-$M$108,$M$109)=0,G$114=$M$108)),$M$107,0),$M$107/($M$110*365)*MAX(0,MIN(G$119+1,$M$111+$M$110*365)-MAX(G$118,$M$111))))</f>
        <v>0</v>
      </c>
      <c r="H231" s="34">
        <f t="shared" si="100"/>
        <v>0</v>
      </c>
      <c r="I231" s="34">
        <f t="shared" si="100"/>
        <v>240</v>
      </c>
      <c r="J231" s="34">
        <f t="shared" si="100"/>
        <v>0</v>
      </c>
      <c r="K231" s="34">
        <f t="shared" si="100"/>
        <v>0</v>
      </c>
      <c r="L231" s="34">
        <f t="shared" si="100"/>
        <v>240</v>
      </c>
      <c r="M231" s="34">
        <f t="shared" si="100"/>
        <v>0</v>
      </c>
      <c r="N231" s="34">
        <f t="shared" si="100"/>
        <v>0</v>
      </c>
      <c r="O231" s="34">
        <f t="shared" si="100"/>
        <v>240</v>
      </c>
      <c r="P231" s="34">
        <f t="shared" si="100"/>
        <v>0</v>
      </c>
      <c r="Q231" s="34">
        <f t="shared" si="100"/>
        <v>0</v>
      </c>
      <c r="R231" s="34">
        <f t="shared" si="100"/>
        <v>240</v>
      </c>
      <c r="S231" s="34">
        <f t="shared" si="100"/>
        <v>0</v>
      </c>
      <c r="T231" s="34">
        <f t="shared" si="100"/>
        <v>0</v>
      </c>
      <c r="U231" s="34">
        <f t="shared" si="100"/>
        <v>0</v>
      </c>
      <c r="V231" s="34">
        <f t="shared" si="93"/>
        <v>960</v>
      </c>
      <c r="W231" s="34">
        <f t="shared" si="94"/>
        <v>0</v>
      </c>
      <c r="X231" s="34">
        <f>IF(AND($F$44&gt;0,$M$101&lt;&gt;"",$M$101&lt;&gt;"Tier 1",N($M$108)&lt;=$F$44),$M$107-W231,0)</f>
        <v>0</v>
      </c>
    </row>
    <row r="232" spans="2:25">
      <c r="B232" s="27" t="str">
        <f>"Item 8: "&amp;IF($N$100="","not used",$N$100)</f>
        <v>Item 8: Plant pipework (PVC)</v>
      </c>
      <c r="C232" s="33" t="str">
        <f>IF($N$101="","",$N$101)</f>
        <v>Tier 3</v>
      </c>
      <c r="D232" s="33" t="s">
        <v>359</v>
      </c>
      <c r="E232" s="33" t="s">
        <v>174</v>
      </c>
      <c r="F232" s="33"/>
      <c r="G232" s="34">
        <f t="shared" ref="G232:U232" si="101">IF(OR(G$117=0,$N$101="",N($N$107)=0),0,IF($N$101="Tier 1",IF(AND(G$114&gt;=$N$108,IF(N($N$109)&gt;0,MOD(G$114-$N$108,$N$109)=0,G$114=$N$108)),$N$107,0),$N$107/($N$110*365)*MAX(0,MIN(G$119+1,$N$111+$N$110*365)-MAX(G$118,$N$111))))</f>
        <v>18.599999999999998</v>
      </c>
      <c r="H232" s="34">
        <f t="shared" si="101"/>
        <v>18.650958904109586</v>
      </c>
      <c r="I232" s="34">
        <f t="shared" si="101"/>
        <v>18.599999999999998</v>
      </c>
      <c r="J232" s="34">
        <f t="shared" si="101"/>
        <v>18.599999999999998</v>
      </c>
      <c r="K232" s="34">
        <f t="shared" si="101"/>
        <v>18.549041095890409</v>
      </c>
      <c r="L232" s="34">
        <f t="shared" si="101"/>
        <v>0</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92.999999999999972</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841.32</v>
      </c>
      <c r="H233" s="34">
        <f t="shared" si="102"/>
        <v>601.98115068493144</v>
      </c>
      <c r="I233" s="34">
        <f t="shared" si="102"/>
        <v>481.32</v>
      </c>
      <c r="J233" s="34">
        <f t="shared" si="102"/>
        <v>841.32</v>
      </c>
      <c r="K233" s="34">
        <f t="shared" si="102"/>
        <v>600.65884931506844</v>
      </c>
      <c r="L233" s="34">
        <f t="shared" si="102"/>
        <v>240</v>
      </c>
      <c r="M233" s="34">
        <f t="shared" si="102"/>
        <v>600</v>
      </c>
      <c r="N233" s="34">
        <f t="shared" si="102"/>
        <v>360</v>
      </c>
      <c r="O233" s="34">
        <f t="shared" si="102"/>
        <v>240</v>
      </c>
      <c r="P233" s="34">
        <f t="shared" si="102"/>
        <v>600</v>
      </c>
      <c r="Q233" s="34">
        <f t="shared" si="102"/>
        <v>360</v>
      </c>
      <c r="R233" s="34">
        <f t="shared" si="102"/>
        <v>240</v>
      </c>
      <c r="S233" s="34">
        <f t="shared" si="102"/>
        <v>0</v>
      </c>
      <c r="T233" s="34">
        <f t="shared" si="102"/>
        <v>0</v>
      </c>
      <c r="U233" s="34">
        <f t="shared" si="102"/>
        <v>0</v>
      </c>
      <c r="V233" s="34">
        <f t="shared" si="93"/>
        <v>6006.6</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841.32</v>
      </c>
      <c r="H240" s="31">
        <f t="shared" si="107"/>
        <v>601.98115068493144</v>
      </c>
      <c r="I240" s="31">
        <f t="shared" si="107"/>
        <v>481.32</v>
      </c>
      <c r="J240" s="31">
        <f t="shared" si="107"/>
        <v>841.32</v>
      </c>
      <c r="K240" s="31">
        <f t="shared" si="107"/>
        <v>600.65884931506844</v>
      </c>
      <c r="L240" s="31">
        <f t="shared" si="107"/>
        <v>240</v>
      </c>
      <c r="M240" s="31">
        <f t="shared" si="107"/>
        <v>600</v>
      </c>
      <c r="N240" s="31">
        <f t="shared" si="107"/>
        <v>360</v>
      </c>
      <c r="O240" s="31">
        <f t="shared" si="107"/>
        <v>240</v>
      </c>
      <c r="P240" s="31">
        <f t="shared" si="107"/>
        <v>600</v>
      </c>
      <c r="Q240" s="31">
        <f t="shared" si="107"/>
        <v>360</v>
      </c>
      <c r="R240" s="31">
        <f t="shared" si="107"/>
        <v>240</v>
      </c>
      <c r="S240" s="31">
        <f t="shared" si="107"/>
        <v>0</v>
      </c>
      <c r="T240" s="31">
        <f t="shared" si="107"/>
        <v>0</v>
      </c>
      <c r="U240" s="31">
        <f t="shared" si="107"/>
        <v>0</v>
      </c>
      <c r="V240" s="31">
        <f t="shared" si="93"/>
        <v>6006.6</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3962.0247907659646</v>
      </c>
      <c r="H243" s="34">
        <f t="shared" si="109"/>
        <v>7695.6335150379109</v>
      </c>
      <c r="I243" s="34">
        <f t="shared" si="109"/>
        <v>10053.822886423759</v>
      </c>
      <c r="J243" s="34">
        <f t="shared" si="109"/>
        <v>9693.822886423759</v>
      </c>
      <c r="K243" s="34">
        <f t="shared" si="109"/>
        <v>9934.4840371086902</v>
      </c>
      <c r="L243" s="34">
        <f t="shared" si="109"/>
        <v>10326.838414629941</v>
      </c>
      <c r="M243" s="34">
        <f t="shared" si="109"/>
        <v>9935.1428864237587</v>
      </c>
      <c r="N243" s="34">
        <f t="shared" si="109"/>
        <v>10175.142886423759</v>
      </c>
      <c r="O243" s="34">
        <f t="shared" si="109"/>
        <v>10295.142886423759</v>
      </c>
      <c r="P243" s="34">
        <f t="shared" si="109"/>
        <v>9966.8384146299413</v>
      </c>
      <c r="Q243" s="34">
        <f t="shared" si="109"/>
        <v>10175.142886423759</v>
      </c>
      <c r="R243" s="34">
        <f t="shared" si="109"/>
        <v>10295.142886423759</v>
      </c>
      <c r="S243" s="34">
        <f t="shared" si="109"/>
        <v>0</v>
      </c>
      <c r="T243" s="34">
        <f t="shared" si="109"/>
        <v>0</v>
      </c>
      <c r="U243" s="34">
        <f t="shared" si="109"/>
        <v>0</v>
      </c>
      <c r="V243" s="34">
        <f>SUMPRODUCT($G$117:$U$117,G243:U243)</f>
        <v>112509.17937713875</v>
      </c>
    </row>
    <row r="244" spans="2:25">
      <c r="B244" s="30" t="s">
        <v>721</v>
      </c>
      <c r="C244" s="33"/>
      <c r="D244" s="33" t="s">
        <v>359</v>
      </c>
      <c r="E244" s="33" t="s">
        <v>722</v>
      </c>
      <c r="F244" s="33"/>
      <c r="G244" s="31">
        <f t="shared" ref="G244:U244" si="110">IF(G$117=1,MAX(0,G243),0)</f>
        <v>3962.0247907659646</v>
      </c>
      <c r="H244" s="31">
        <f t="shared" si="110"/>
        <v>7695.6335150379109</v>
      </c>
      <c r="I244" s="31">
        <f t="shared" si="110"/>
        <v>10053.822886423759</v>
      </c>
      <c r="J244" s="31">
        <f t="shared" si="110"/>
        <v>9693.822886423759</v>
      </c>
      <c r="K244" s="31">
        <f t="shared" si="110"/>
        <v>9934.4840371086902</v>
      </c>
      <c r="L244" s="31">
        <f t="shared" si="110"/>
        <v>10326.838414629941</v>
      </c>
      <c r="M244" s="31">
        <f t="shared" si="110"/>
        <v>9935.1428864237587</v>
      </c>
      <c r="N244" s="31">
        <f t="shared" si="110"/>
        <v>10175.142886423759</v>
      </c>
      <c r="O244" s="31">
        <f t="shared" si="110"/>
        <v>10295.142886423759</v>
      </c>
      <c r="P244" s="31">
        <f t="shared" si="110"/>
        <v>9966.8384146299413</v>
      </c>
      <c r="Q244" s="31">
        <f t="shared" si="110"/>
        <v>10175.142886423759</v>
      </c>
      <c r="R244" s="31">
        <f t="shared" si="110"/>
        <v>10295.142886423759</v>
      </c>
      <c r="S244" s="31">
        <f t="shared" si="110"/>
        <v>0</v>
      </c>
      <c r="T244" s="31">
        <f t="shared" si="110"/>
        <v>0</v>
      </c>
      <c r="U244" s="31">
        <f t="shared" si="110"/>
        <v>0</v>
      </c>
      <c r="V244" s="31">
        <f>SUMPRODUCT($G$117:$U$117,G244:U244)</f>
        <v>112509.17937713875</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3962.0247907659646</v>
      </c>
      <c r="H246" s="34">
        <f>SUM($G244:H244)</f>
        <v>11657.658305803876</v>
      </c>
      <c r="I246" s="34">
        <f>SUM($G244:I244)</f>
        <v>21711.481192227635</v>
      </c>
      <c r="J246" s="34">
        <f>SUM($G244:J244)</f>
        <v>31405.304078651396</v>
      </c>
      <c r="K246" s="34">
        <f>SUM($G244:K244)</f>
        <v>41339.788115760086</v>
      </c>
      <c r="L246" s="34">
        <f>SUM($G244:L244)</f>
        <v>51666.626530390029</v>
      </c>
      <c r="M246" s="34">
        <f>SUM($G244:M244)</f>
        <v>61601.76941681379</v>
      </c>
      <c r="N246" s="34">
        <f>SUM($G244:N244)</f>
        <v>71776.91230323755</v>
      </c>
      <c r="O246" s="34">
        <f>SUM($G244:O244)</f>
        <v>82072.055189661303</v>
      </c>
      <c r="P246" s="34">
        <f>SUM($G244:P244)</f>
        <v>92038.893604291239</v>
      </c>
      <c r="Q246" s="34">
        <f>SUM($G244:Q244)</f>
        <v>102214.03649071499</v>
      </c>
      <c r="R246" s="34">
        <f>SUM($G244:R244)</f>
        <v>112509.17937713875</v>
      </c>
      <c r="S246" s="34">
        <f>SUM($G244:S244)</f>
        <v>112509.17937713875</v>
      </c>
      <c r="T246" s="34">
        <f>SUM($G244:T244)</f>
        <v>112509.17937713875</v>
      </c>
      <c r="U246" s="34">
        <f>SUM($G244:U244)</f>
        <v>112509.17937713875</v>
      </c>
      <c r="V246" s="33"/>
    </row>
    <row r="248" spans="2:25" ht="20.100000000000001" customHeight="1">
      <c r="B248" s="20" t="s">
        <v>725</v>
      </c>
      <c r="C248" s="20"/>
      <c r="D248" s="20"/>
      <c r="E248" s="20"/>
      <c r="F248" s="20"/>
    </row>
    <row r="249" spans="2:25">
      <c r="B249" s="27" t="s">
        <v>726</v>
      </c>
      <c r="C249" s="33"/>
      <c r="D249" s="33" t="s">
        <v>359</v>
      </c>
      <c r="E249" s="33"/>
      <c r="F249" s="31">
        <f>SUMPRODUCT(($G$116:$U$116=1)*($G$244:$U$244))</f>
        <v>41339.788115760086</v>
      </c>
    </row>
    <row r="250" spans="2:25">
      <c r="B250" s="27" t="s">
        <v>727</v>
      </c>
      <c r="C250" s="33"/>
      <c r="D250" s="33" t="s">
        <v>359</v>
      </c>
      <c r="E250" s="33"/>
      <c r="F250" s="31">
        <f>SUMPRODUCT(($G$116:$U$116=2)*($G$244:$U$244))</f>
        <v>50699.105488531161</v>
      </c>
    </row>
    <row r="251" spans="2:25">
      <c r="B251" s="27" t="s">
        <v>728</v>
      </c>
      <c r="C251" s="33"/>
      <c r="D251" s="33" t="s">
        <v>359</v>
      </c>
      <c r="E251" s="33"/>
      <c r="F251" s="31">
        <f>SUMPRODUCT(($G$116:$U$116=3)*($G$244:$U$244))</f>
        <v>20470.285772847517</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28" priority="1">
      <formula>$G$75=""</formula>
    </cfRule>
  </conditionalFormatting>
  <conditionalFormatting sqref="B138:V150">
    <cfRule type="expression" dxfId="27" priority="2">
      <formula>$H$75=""</formula>
    </cfRule>
  </conditionalFormatting>
  <conditionalFormatting sqref="B152:V164">
    <cfRule type="expression" dxfId="26" priority="3">
      <formula>$I$75=""</formula>
    </cfRule>
  </conditionalFormatting>
  <conditionalFormatting sqref="B166:V178">
    <cfRule type="expression" dxfId="25" priority="4">
      <formula>$J$75=""</formula>
    </cfRule>
  </conditionalFormatting>
  <conditionalFormatting sqref="B180:V192">
    <cfRule type="expression" dxfId="24" priority="5">
      <formula>$K$75=""</formula>
    </cfRule>
  </conditionalFormatting>
  <conditionalFormatting sqref="F14">
    <cfRule type="expression" dxfId="23" priority="9">
      <formula>LEFT(F14,6)="Review"</formula>
    </cfRule>
  </conditionalFormatting>
  <conditionalFormatting sqref="G96:K96">
    <cfRule type="expression" dxfId="22" priority="8">
      <formula>AND(G96&lt;&gt;"",G96&lt;&gt;"OK")</formula>
    </cfRule>
  </conditionalFormatting>
  <conditionalFormatting sqref="G115:U246">
    <cfRule type="expression" dxfId="21" priority="6">
      <formula>G$117=0</formula>
    </cfRule>
  </conditionalFormatting>
  <conditionalFormatting sqref="G122:U122">
    <cfRule type="expression" dxfId="20" priority="7">
      <formula>LEFT(G122,7)="Carried"</formula>
    </cfRule>
  </conditionalFormatting>
  <dataValidations count="19">
    <dataValidation type="list" allowBlank="1" showErrorMessage="1" errorTitle="Invalid entry" error="Select a value from the list." sqref="F18" xr:uid="{00000000-0002-0000-0800-000000000000}">
      <formula1>L_Country</formula1>
    </dataValidation>
    <dataValidation type="list" allowBlank="1" showErrorMessage="1" errorTitle="Invalid entry" error="Select a value from the list." sqref="F20" xr:uid="{00000000-0002-0000-0800-000001000000}">
      <formula1>L_BOD</formula1>
    </dataValidation>
    <dataValidation type="list" allowBlank="1" showErrorMessage="1" errorTitle="Invalid entry" error="Select a value from the list." sqref="F43" xr:uid="{00000000-0002-0000-0800-000002000000}">
      <formula1>L_Ops</formula1>
    </dataValidation>
    <dataValidation type="list" allowBlank="1" showErrorMessage="1" errorTitle="Invalid entry" error="Select a value from the list." sqref="F45" xr:uid="{00000000-0002-0000-0800-000003000000}">
      <formula1>L_Elec</formula1>
    </dataValidation>
    <dataValidation type="list" allowBlank="1" showErrorMessage="1" errorTitle="Invalid entry" error="Select a value from the list." sqref="F48 F51" xr:uid="{00000000-0002-0000-0800-000004000000}">
      <formula1>L_Fuel</formula1>
    </dataValidation>
    <dataValidation type="list" allowBlank="1" showErrorMessage="1" errorTitle="Invalid entry" error="Select a value from the list." sqref="F50" xr:uid="{00000000-0002-0000-0800-000005000000}">
      <formula1>L_Transport</formula1>
    </dataValidation>
    <dataValidation type="date" showErrorMessage="1" error="Enter a date between 1 January 2026 and 31 December 2035." sqref="F42" xr:uid="{00000000-0002-0000-0800-000006000000}">
      <formula1>DATE(2026,1,1)</formula1>
      <formula2>DATE(2035,12,31)</formula2>
    </dataValidation>
    <dataValidation type="whole" allowBlank="1" showErrorMessage="1" error="Enter a value between 0 and 15." sqref="F44 G109:N109" xr:uid="{00000000-0002-0000-0800-000007000000}">
      <formula1>0</formula1>
      <formula2>15</formula2>
    </dataValidation>
    <dataValidation type="decimal" allowBlank="1" showErrorMessage="1" error="Enter a value between 0 and 1." sqref="G200:U201 G95:K95 E60:E63" xr:uid="{00000000-0002-0000-0800-000008000000}">
      <formula1>0</formula1>
      <formula2>1</formula2>
    </dataValidation>
    <dataValidation type="list" allowBlank="1" showErrorMessage="1" errorTitle="Invalid entry" error="Select a value from the list." sqref="F69" xr:uid="{00000000-0002-0000-0800-00000C000000}">
      <formula1>L_SDUAF</formula1>
    </dataValidation>
    <dataValidation type="list" allowBlank="1" showErrorMessage="1" errorTitle="Invalid entry" error="Select a value from the list." sqref="G75 H75 I75 J75 K75" xr:uid="{00000000-0002-0000-0800-00000D000000}">
      <formula1>L_Pathway</formula1>
    </dataValidation>
    <dataValidation type="list" allowBlank="1" showErrorMessage="1" errorTitle="Invalid entry" error="Select a value from the list." sqref="G77 H77 I77 J77 K77" xr:uid="{00000000-0002-0000-0800-00000E000000}">
      <formula1>L_Emptied</formula1>
    </dataValidation>
    <dataValidation type="list" allowBlank="1" showErrorMessage="1" errorTitle="Invalid entry" error="Select a value from the list." sqref="G78 H78 I78 J78 K78" xr:uid="{00000000-0002-0000-0800-00000F000000}">
      <formula1>L_Route</formula1>
    </dataValidation>
    <dataValidation type="list" allowBlank="1" showErrorMessage="1" errorTitle="Invalid entry" error="Select a value from the list." sqref="G81 H81 I81 J81 K81" xr:uid="{00000000-0002-0000-0800-000010000000}">
      <formula1>L_UAF</formula1>
    </dataValidation>
    <dataValidation type="list" allowBlank="1" showErrorMessage="1" errorTitle="Invalid entry" error="Select a value from the list." sqref="G86 G87 H86 H87 I86 I87 J86 J87 K86 K87" xr:uid="{00000000-0002-0000-0800-000011000000}">
      <formula1>L_Unit</formula1>
    </dataValidation>
    <dataValidation type="list" allowBlank="1" showErrorMessage="1" errorTitle="Invalid entry" error="Select a value from the list." sqref="G94 H94 I94 J94 K94" xr:uid="{00000000-0002-0000-0800-000012000000}">
      <formula1>L_YesNo</formula1>
    </dataValidation>
    <dataValidation type="list" allowBlank="1" showErrorMessage="1" errorTitle="Invalid entry" error="Select a value from the list." sqref="G101 H101 I101 J101 K101 L101 M101 N101" xr:uid="{00000000-0002-0000-0800-000018000000}">
      <formula1>L_Tier</formula1>
    </dataValidation>
    <dataValidation type="list" allowBlank="1" showErrorMessage="1" errorTitle="Invalid entry" error="Select a value from the list." sqref="G102 H102 I102 J102 K102 L102 M102 N102" xr:uid="{00000000-0002-0000-0800-000019000000}">
      <formula1>L_Material</formula1>
    </dataValidation>
    <dataValidation type="whole" allowBlank="1" showErrorMessage="1" error="Enter a value between 1 and 15." sqref="G108:N108" xr:uid="{00000000-0002-0000-0800-00001A000000}">
      <formula1>1</formula1>
      <formula2>15</formula2>
    </dataValidation>
  </dataValidations>
  <pageMargins left="0.75" right="0.75" top="1" bottom="1" header="0.5" footer="0.5"/>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791</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792</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159330.33573534398</v>
      </c>
    </row>
    <row r="7" spans="2:25">
      <c r="B7" s="30" t="s">
        <v>360</v>
      </c>
      <c r="C7" s="33"/>
      <c r="D7" s="33" t="s">
        <v>359</v>
      </c>
      <c r="E7" s="33"/>
      <c r="F7" s="31">
        <f>SUMPRODUCT(($G$114:$U$114&lt;=10)*($G$244:$U$244))</f>
        <v>130755.36834063972</v>
      </c>
    </row>
    <row r="8" spans="2:25">
      <c r="B8" s="27" t="s">
        <v>361</v>
      </c>
      <c r="C8" s="33"/>
      <c r="D8" s="33" t="s">
        <v>359</v>
      </c>
      <c r="E8" s="33"/>
      <c r="F8" s="34">
        <f>IF(SUM($G$117:$U$117)&gt;0,V244/SUM($G$117:$U$117),0)</f>
        <v>13277.527977945332</v>
      </c>
    </row>
    <row r="9" spans="2:25">
      <c r="B9" s="27" t="s">
        <v>362</v>
      </c>
      <c r="C9" s="33"/>
      <c r="D9" s="33" t="s">
        <v>359</v>
      </c>
      <c r="E9" s="33"/>
      <c r="F9" s="34">
        <f>V202</f>
        <v>193957.78472654603</v>
      </c>
    </row>
    <row r="10" spans="2:25">
      <c r="B10" s="27" t="s">
        <v>363</v>
      </c>
      <c r="C10" s="33"/>
      <c r="D10" s="33" t="s">
        <v>359</v>
      </c>
      <c r="E10" s="33"/>
      <c r="F10" s="34">
        <f>V222</f>
        <v>28620.848991202081</v>
      </c>
    </row>
    <row r="11" spans="2:25">
      <c r="B11" s="27" t="s">
        <v>364</v>
      </c>
      <c r="C11" s="33"/>
      <c r="D11" s="33" t="s">
        <v>359</v>
      </c>
      <c r="E11" s="33"/>
      <c r="F11" s="34">
        <f>V240</f>
        <v>6006.6</v>
      </c>
    </row>
    <row r="12" spans="2:25">
      <c r="B12" s="27" t="s">
        <v>365</v>
      </c>
      <c r="C12" s="33"/>
      <c r="D12" s="33" t="s">
        <v>359</v>
      </c>
      <c r="E12" s="33"/>
      <c r="F12" s="34">
        <f>V203</f>
        <v>4673.224784166714</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753</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3.4000000000000002E-2</v>
      </c>
      <c r="G19" s="94" t="str">
        <f>"Table 6.4 entry: "&amp;INDEX(Defaults!$C$32:$C$64,MATCH($F$18,Defaults!$B$32:$B$64,0))</f>
        <v>Table 6.4 entry: India (country value)</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3.4000000000000002E-2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74.569999999999993</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4.3548879999999999</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2.0400000000000001E-2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2.0400000000000001E-2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12</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0</v>
      </c>
      <c r="G44" s="94" t="s">
        <v>440</v>
      </c>
      <c r="H44" s="97"/>
      <c r="I44" s="97"/>
      <c r="J44" s="97"/>
      <c r="K44" s="97"/>
      <c r="L44" s="97"/>
      <c r="M44" s="97"/>
      <c r="N44" s="97"/>
      <c r="O44" s="97"/>
      <c r="P44" s="97"/>
      <c r="Q44" s="97"/>
      <c r="R44" s="97"/>
      <c r="S44" s="97"/>
      <c r="T44" s="97"/>
      <c r="U44" s="97"/>
      <c r="V44" s="97"/>
    </row>
    <row r="45" spans="2:22">
      <c r="B45" s="27" t="s">
        <v>441</v>
      </c>
      <c r="C45" s="33"/>
      <c r="D45" s="33"/>
      <c r="E45" s="33" t="s">
        <v>442</v>
      </c>
      <c r="F45" s="51" t="s">
        <v>754</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v>0.72</v>
      </c>
      <c r="G46" s="94" t="s">
        <v>755</v>
      </c>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0.72</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460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0</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480</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0.25</v>
      </c>
      <c r="F60" s="45">
        <f>C60*E60</f>
        <v>2.5000000000000001E-2</v>
      </c>
      <c r="G60" s="45">
        <f>(C60-D60)*E60</f>
        <v>1.2500000000000001E-2</v>
      </c>
    </row>
    <row r="61" spans="2:25">
      <c r="B61" s="27" t="s">
        <v>482</v>
      </c>
      <c r="C61" s="36">
        <f>INDEX(Defaults!$C$69:$C$79,MATCH(B61,Defaults!$B$69:$B$79,0))</f>
        <v>0.7</v>
      </c>
      <c r="D61" s="36">
        <f>IF(ISNUMBER(INDEX(Defaults!$D$69:$D$79,MATCH(B61,Defaults!$B$69:$B$79,0))),INDEX(Defaults!$D$69:$D$79,MATCH(B61,Defaults!$B$69:$B$79,0)),C61)</f>
        <v>0.7</v>
      </c>
      <c r="E61" s="53">
        <v>0.2</v>
      </c>
      <c r="F61" s="45">
        <f>C61*E61</f>
        <v>0.13999999999999999</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0.55000000000000004</v>
      </c>
      <c r="F62" s="45">
        <f>C62*E62</f>
        <v>0.30250000000000005</v>
      </c>
      <c r="G62" s="45">
        <f>(C62-D62)*E62</f>
        <v>8.2500000000000018E-2</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1</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0.46750000000000003</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0.46750000000000003</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0.44412499999999999</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0.20320855614973263</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496</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0.69229915337032233</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775</v>
      </c>
      <c r="H74" s="51" t="s">
        <v>734</v>
      </c>
      <c r="I74" s="51" t="s">
        <v>776</v>
      </c>
      <c r="J74" s="51" t="s">
        <v>777</v>
      </c>
      <c r="K74" s="51" t="s">
        <v>735</v>
      </c>
    </row>
    <row r="75" spans="2:25" ht="44.1" customHeight="1">
      <c r="B75" s="27" t="s">
        <v>508</v>
      </c>
      <c r="C75" s="33" t="s">
        <v>509</v>
      </c>
      <c r="D75" s="33"/>
      <c r="E75" s="33" t="s">
        <v>510</v>
      </c>
      <c r="F75" s="33"/>
      <c r="G75" s="51" t="s">
        <v>511</v>
      </c>
      <c r="H75" s="51" t="s">
        <v>482</v>
      </c>
      <c r="I75" s="51" t="s">
        <v>483</v>
      </c>
      <c r="J75" s="51" t="s">
        <v>778</v>
      </c>
      <c r="K75" s="51" t="s">
        <v>738</v>
      </c>
    </row>
    <row r="76" spans="2:25">
      <c r="B76" s="27" t="s">
        <v>513</v>
      </c>
      <c r="C76" s="33"/>
      <c r="D76" s="33" t="s">
        <v>514</v>
      </c>
      <c r="E76" s="33" t="s">
        <v>515</v>
      </c>
      <c r="F76" s="33"/>
      <c r="G76" s="60"/>
      <c r="H76" s="60"/>
      <c r="I76" s="60"/>
      <c r="J76" s="60"/>
      <c r="K76" s="60">
        <v>10</v>
      </c>
    </row>
    <row r="77" spans="2:25" ht="44.1" customHeight="1">
      <c r="B77" s="27" t="s">
        <v>516</v>
      </c>
      <c r="C77" s="33"/>
      <c r="D77" s="33"/>
      <c r="E77" s="33" t="s">
        <v>517</v>
      </c>
      <c r="F77" s="33"/>
      <c r="G77" s="51" t="s">
        <v>518</v>
      </c>
      <c r="H77" s="51" t="s">
        <v>518</v>
      </c>
      <c r="I77" s="51" t="s">
        <v>759</v>
      </c>
      <c r="J77" s="51" t="s">
        <v>518</v>
      </c>
      <c r="K77" s="51" t="s">
        <v>518</v>
      </c>
    </row>
    <row r="78" spans="2:25" ht="44.1" customHeight="1">
      <c r="B78" s="27" t="s">
        <v>519</v>
      </c>
      <c r="C78" s="33"/>
      <c r="D78" s="33"/>
      <c r="E78" s="33" t="s">
        <v>520</v>
      </c>
      <c r="F78" s="33"/>
      <c r="G78" s="51" t="s">
        <v>521</v>
      </c>
      <c r="H78" s="51" t="s">
        <v>521</v>
      </c>
      <c r="I78" s="51" t="s">
        <v>521</v>
      </c>
      <c r="J78" s="51" t="s">
        <v>521</v>
      </c>
      <c r="K78" s="51" t="s">
        <v>521</v>
      </c>
    </row>
    <row r="79" spans="2:25">
      <c r="B79" s="27" t="s">
        <v>522</v>
      </c>
      <c r="C79" s="33" t="s">
        <v>490</v>
      </c>
      <c r="D79" s="33" t="s">
        <v>398</v>
      </c>
      <c r="E79" s="33" t="s">
        <v>125</v>
      </c>
      <c r="F79" s="33"/>
      <c r="G79" s="40"/>
      <c r="H79" s="40">
        <v>0.85</v>
      </c>
      <c r="I79" s="40">
        <v>0.65</v>
      </c>
      <c r="J79" s="40">
        <v>0.61</v>
      </c>
      <c r="K79" s="40">
        <v>0.55000000000000004</v>
      </c>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0.44412499999999999</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0.85</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0.65</v>
      </c>
      <c r="J80" s="61">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0.61</v>
      </c>
      <c r="K80" s="61">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0.55000000000000004</v>
      </c>
    </row>
    <row r="81" spans="2:11" ht="22.5">
      <c r="B81" s="27" t="s">
        <v>525</v>
      </c>
      <c r="C81" s="33"/>
      <c r="D81" s="33"/>
      <c r="E81" s="33" t="s">
        <v>526</v>
      </c>
      <c r="F81" s="33"/>
      <c r="G81" s="51" t="s">
        <v>527</v>
      </c>
      <c r="H81" s="51" t="s">
        <v>750</v>
      </c>
      <c r="I81" s="51" t="s">
        <v>750</v>
      </c>
      <c r="J81" s="51" t="s">
        <v>750</v>
      </c>
      <c r="K81" s="51" t="s">
        <v>750</v>
      </c>
    </row>
    <row r="82" spans="2:11" ht="22.5">
      <c r="B82" s="27" t="s">
        <v>528</v>
      </c>
      <c r="C82" s="33" t="s">
        <v>493</v>
      </c>
      <c r="D82" s="33" t="s">
        <v>398</v>
      </c>
      <c r="E82" s="33" t="s">
        <v>529</v>
      </c>
      <c r="F82" s="33"/>
      <c r="G82" s="53"/>
      <c r="H82" s="53">
        <v>0.15</v>
      </c>
      <c r="I82" s="53">
        <v>0.2</v>
      </c>
      <c r="J82" s="53">
        <v>0.25</v>
      </c>
      <c r="K82" s="53">
        <v>0.15</v>
      </c>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0.69229915337032233</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0.70565499999999992</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0.69319990514994945</v>
      </c>
      <c r="J83" s="61">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0.67789310559225835</v>
      </c>
      <c r="K83" s="61">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0.70565499999999992</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540</v>
      </c>
      <c r="H86" s="51" t="s">
        <v>540</v>
      </c>
      <c r="I86" s="51" t="s">
        <v>779</v>
      </c>
      <c r="J86" s="51" t="s">
        <v>780</v>
      </c>
      <c r="K86" s="51" t="s">
        <v>540</v>
      </c>
    </row>
    <row r="87" spans="2:11" ht="44.1" customHeight="1">
      <c r="B87" s="27" t="s">
        <v>541</v>
      </c>
      <c r="C87" s="33" t="s">
        <v>538</v>
      </c>
      <c r="D87" s="33"/>
      <c r="E87" s="33" t="s">
        <v>539</v>
      </c>
      <c r="F87" s="33"/>
      <c r="G87" s="51" t="s">
        <v>460</v>
      </c>
      <c r="H87" s="51" t="s">
        <v>460</v>
      </c>
      <c r="I87" s="51" t="s">
        <v>540</v>
      </c>
      <c r="J87" s="51" t="s">
        <v>460</v>
      </c>
      <c r="K87" s="51" t="s">
        <v>460</v>
      </c>
    </row>
    <row r="88" spans="2:11">
      <c r="B88" s="27" t="s">
        <v>542</v>
      </c>
      <c r="C88" s="33"/>
      <c r="D88" s="33"/>
      <c r="E88" s="33"/>
      <c r="F88" s="33"/>
      <c r="G88" s="44" t="str">
        <f>IF(G86="","NONE",INDEX(Defaults!$C$91:$C$101,MATCH(G86,Defaults!$B$91:$B$101,0)))</f>
        <v>COMP</v>
      </c>
      <c r="H88" s="44" t="str">
        <f>IF(H86="","NONE",INDEX(Defaults!$C$91:$C$101,MATCH(H86,Defaults!$B$91:$B$101,0)))</f>
        <v>COMP</v>
      </c>
      <c r="I88" s="44" t="str">
        <f>IF(I86="","NONE",INDEX(Defaults!$C$91:$C$101,MATCH(I86,Defaults!$B$91:$B$101,0)))</f>
        <v>NONE</v>
      </c>
      <c r="J88" s="44" t="str">
        <f>IF(J86="","NONE",INDEX(Defaults!$C$91:$C$101,MATCH(J86,Defaults!$B$91:$B$101,0)))</f>
        <v>WW</v>
      </c>
      <c r="K88" s="44" t="str">
        <f>IF(K86="","NONE",INDEX(Defaults!$C$91:$C$101,MATCH(K86,Defaults!$B$91:$B$101,0)))</f>
        <v>COMP</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COMP</v>
      </c>
      <c r="J89" s="44" t="str">
        <f>IF(J87="","NONE",INDEX(Defaults!$C$91:$C$101,MATCH(J87,Defaults!$B$91:$B$101,0)))</f>
        <v>NONE</v>
      </c>
      <c r="K89" s="44" t="str">
        <f>IF(K87="","NONE",INDEX(Defaults!$C$91:$C$101,MATCH(K87,Defaults!$B$91:$B$101,0)))</f>
        <v>NONE</v>
      </c>
    </row>
    <row r="90" spans="2:11">
      <c r="B90" s="27" t="s">
        <v>544</v>
      </c>
      <c r="C90" s="33" t="s">
        <v>545</v>
      </c>
      <c r="D90" s="33" t="s">
        <v>398</v>
      </c>
      <c r="E90" s="33" t="s">
        <v>546</v>
      </c>
      <c r="F90" s="33"/>
      <c r="G90" s="41">
        <f>IF(G86="",0,INDEX(Defaults!$D$91:$D$101,MATCH(G86,Defaults!$B$91:$B$101,0)))</f>
        <v>0</v>
      </c>
      <c r="H90" s="41">
        <f>IF(H86="",0,INDEX(Defaults!$D$91:$D$101,MATCH(H86,Defaults!$B$91:$B$101,0)))</f>
        <v>0</v>
      </c>
      <c r="I90" s="41">
        <f>IF(I86="",0,INDEX(Defaults!$D$91:$D$101,MATCH(I86,Defaults!$B$91:$B$101,0)))</f>
        <v>0</v>
      </c>
      <c r="J90" s="41">
        <f>IF(J86="",0,INDEX(Defaults!$D$91:$D$101,MATCH(J86,Defaults!$B$91:$B$101,0)))</f>
        <v>3.4000000000000002E-2</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0</v>
      </c>
      <c r="I92" s="45">
        <f>IF(I86="",0,INDEX(Defaults!$F$91:$F$101,MATCH(I86,Defaults!$B$91:$B$101,0)))</f>
        <v>0</v>
      </c>
      <c r="J92" s="45">
        <f>IF(J86="",0,INDEX(Defaults!$F$91:$F$101,MATCH(J86,Defaults!$B$91:$B$101,0)))</f>
        <v>1.6E-2</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t="s">
        <v>552</v>
      </c>
      <c r="K94" s="51" t="s">
        <v>552</v>
      </c>
    </row>
    <row r="95" spans="2:11" ht="44.1" customHeight="1">
      <c r="B95" s="27" t="s">
        <v>553</v>
      </c>
      <c r="C95" s="33"/>
      <c r="D95" s="33" t="s">
        <v>398</v>
      </c>
      <c r="E95" s="33" t="s">
        <v>466</v>
      </c>
      <c r="F95" s="33"/>
      <c r="G95" s="53">
        <v>0</v>
      </c>
      <c r="H95" s="53">
        <v>0</v>
      </c>
      <c r="I95" s="53">
        <v>0</v>
      </c>
      <c r="J95" s="53">
        <v>0</v>
      </c>
      <c r="K95" s="53">
        <v>0</v>
      </c>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OK</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OK</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781</v>
      </c>
      <c r="H100" s="51" t="s">
        <v>782</v>
      </c>
      <c r="I100" s="51" t="s">
        <v>783</v>
      </c>
      <c r="J100" s="51" t="s">
        <v>784</v>
      </c>
      <c r="K100" s="51" t="s">
        <v>564</v>
      </c>
      <c r="L100" s="51" t="s">
        <v>565</v>
      </c>
      <c r="M100" s="51" t="s">
        <v>566</v>
      </c>
      <c r="N100" s="51" t="s">
        <v>785</v>
      </c>
    </row>
    <row r="101" spans="2:25">
      <c r="B101" s="27" t="s">
        <v>572</v>
      </c>
      <c r="C101" s="33"/>
      <c r="D101" s="33"/>
      <c r="E101" s="33" t="s">
        <v>573</v>
      </c>
      <c r="F101" s="33"/>
      <c r="G101" s="51" t="s">
        <v>576</v>
      </c>
      <c r="H101" s="51" t="s">
        <v>576</v>
      </c>
      <c r="I101" s="51" t="s">
        <v>576</v>
      </c>
      <c r="J101" s="51" t="s">
        <v>576</v>
      </c>
      <c r="K101" s="51" t="s">
        <v>574</v>
      </c>
      <c r="L101" s="51" t="s">
        <v>574</v>
      </c>
      <c r="M101" s="51" t="s">
        <v>574</v>
      </c>
      <c r="N101" s="51" t="s">
        <v>576</v>
      </c>
    </row>
    <row r="102" spans="2:25" ht="30" customHeight="1">
      <c r="B102" s="27" t="s">
        <v>577</v>
      </c>
      <c r="C102" s="33" t="s">
        <v>578</v>
      </c>
      <c r="D102" s="33"/>
      <c r="E102" s="33" t="s">
        <v>579</v>
      </c>
      <c r="F102" s="33"/>
      <c r="G102" s="51" t="s">
        <v>583</v>
      </c>
      <c r="H102" s="51" t="s">
        <v>583</v>
      </c>
      <c r="I102" s="51" t="s">
        <v>786</v>
      </c>
      <c r="J102" s="51" t="s">
        <v>582</v>
      </c>
      <c r="K102" s="51" t="s">
        <v>580</v>
      </c>
      <c r="L102" s="51" t="s">
        <v>580</v>
      </c>
      <c r="M102" s="51" t="s">
        <v>580</v>
      </c>
      <c r="N102" s="51" t="s">
        <v>787</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0.18</v>
      </c>
      <c r="H104" s="41">
        <f>IF(H102="","",IF(ISNUMBER(H103),H103,INDEX(Defaults!$D$112:$D$126,MATCH(H102,Defaults!$B$112:$B$126,0))))</f>
        <v>0.18</v>
      </c>
      <c r="I104" s="41">
        <f>IF(I102="","",IF(ISNUMBER(I103),I103,INDEX(Defaults!$D$112:$D$126,MATCH(I102,Defaults!$B$112:$B$126,0))))</f>
        <v>6.1</v>
      </c>
      <c r="J104" s="41">
        <f>IF(J102="","",IF(ISNUMBER(J103),J103,INDEX(Defaults!$D$112:$D$126,MATCH(J102,Defaults!$B$112:$B$126,0))))</f>
        <v>1.6</v>
      </c>
      <c r="K104" s="41">
        <f>IF(K102="","",IF(ISNUMBER(K103),K103,INDEX(Defaults!$D$112:$D$126,MATCH(K102,Defaults!$B$112:$B$126,0))))</f>
        <v>2.5</v>
      </c>
      <c r="L104" s="41">
        <f>IF(L102="","",IF(ISNUMBER(L103),L103,INDEX(Defaults!$D$112:$D$126,MATCH(L102,Defaults!$B$112:$B$126,0))))</f>
        <v>2.5</v>
      </c>
      <c r="M104" s="41">
        <f>IF(M102="","",IF(ISNUMBER(M103),M103,INDEX(Defaults!$D$112:$D$126,MATCH(M102,Defaults!$B$112:$B$126,0))))</f>
        <v>2.5</v>
      </c>
      <c r="N104" s="41">
        <f>IF(N102="","",IF(ISNUMBER(N103),N103,INDEX(Defaults!$D$112:$D$126,MATCH(N102,Defaults!$B$112:$B$126,0))))</f>
        <v>3.1</v>
      </c>
    </row>
    <row r="105" spans="2:25">
      <c r="B105" s="27" t="s">
        <v>589</v>
      </c>
      <c r="C105" s="33" t="s">
        <v>590</v>
      </c>
      <c r="D105" s="33" t="s">
        <v>591</v>
      </c>
      <c r="E105" s="33" t="s">
        <v>260</v>
      </c>
      <c r="F105" s="33"/>
      <c r="G105" s="63">
        <v>2000000</v>
      </c>
      <c r="H105" s="63">
        <v>2500000</v>
      </c>
      <c r="I105" s="63">
        <v>3000</v>
      </c>
      <c r="J105" s="63">
        <v>8000</v>
      </c>
      <c r="K105" s="63">
        <v>10</v>
      </c>
      <c r="L105" s="63">
        <v>10</v>
      </c>
      <c r="M105" s="63">
        <v>10</v>
      </c>
      <c r="N105" s="63">
        <v>30000</v>
      </c>
    </row>
    <row r="106" spans="2:25">
      <c r="B106" s="27" t="s">
        <v>592</v>
      </c>
      <c r="C106" s="33"/>
      <c r="D106" s="33" t="s">
        <v>593</v>
      </c>
      <c r="E106" s="33"/>
      <c r="F106" s="33"/>
      <c r="G106" s="63">
        <v>1</v>
      </c>
      <c r="H106" s="63">
        <v>1</v>
      </c>
      <c r="I106" s="63">
        <v>4</v>
      </c>
      <c r="J106" s="63">
        <v>18</v>
      </c>
      <c r="K106" s="63">
        <v>24000</v>
      </c>
      <c r="L106" s="63">
        <v>14400</v>
      </c>
      <c r="M106" s="63">
        <v>9600</v>
      </c>
      <c r="N106" s="63">
        <v>1</v>
      </c>
    </row>
    <row r="107" spans="2:25">
      <c r="B107" s="27" t="s">
        <v>594</v>
      </c>
      <c r="C107" s="33"/>
      <c r="D107" s="33" t="s">
        <v>359</v>
      </c>
      <c r="E107" s="33" t="s">
        <v>174</v>
      </c>
      <c r="F107" s="33"/>
      <c r="G107" s="34">
        <f t="shared" ref="G107:N107" si="0">IF(OR(G102="",G101=""),0,N(G105)*N(G106)*N(G104)/1000)</f>
        <v>360</v>
      </c>
      <c r="H107" s="34">
        <f t="shared" si="0"/>
        <v>450</v>
      </c>
      <c r="I107" s="34">
        <f t="shared" si="0"/>
        <v>73.2</v>
      </c>
      <c r="J107" s="34">
        <f t="shared" si="0"/>
        <v>230.4</v>
      </c>
      <c r="K107" s="34">
        <f t="shared" si="0"/>
        <v>600</v>
      </c>
      <c r="L107" s="34">
        <f t="shared" si="0"/>
        <v>360</v>
      </c>
      <c r="M107" s="34">
        <f t="shared" si="0"/>
        <v>240</v>
      </c>
      <c r="N107" s="34">
        <f t="shared" si="0"/>
        <v>93</v>
      </c>
    </row>
    <row r="108" spans="2:25">
      <c r="B108" s="27" t="s">
        <v>595</v>
      </c>
      <c r="C108" s="33"/>
      <c r="D108" s="33" t="s">
        <v>439</v>
      </c>
      <c r="E108" s="33" t="s">
        <v>174</v>
      </c>
      <c r="F108" s="33"/>
      <c r="G108" s="60">
        <v>1</v>
      </c>
      <c r="H108" s="60">
        <v>1</v>
      </c>
      <c r="I108" s="60">
        <v>1</v>
      </c>
      <c r="J108" s="60">
        <v>1</v>
      </c>
      <c r="K108" s="60">
        <v>1</v>
      </c>
      <c r="L108" s="60">
        <v>2</v>
      </c>
      <c r="M108" s="60">
        <v>3</v>
      </c>
      <c r="N108" s="60">
        <v>1</v>
      </c>
    </row>
    <row r="109" spans="2:25">
      <c r="B109" s="27" t="s">
        <v>596</v>
      </c>
      <c r="C109" s="33"/>
      <c r="D109" s="33" t="s">
        <v>436</v>
      </c>
      <c r="E109" s="33" t="s">
        <v>597</v>
      </c>
      <c r="F109" s="33"/>
      <c r="G109" s="60"/>
      <c r="H109" s="60"/>
      <c r="I109" s="60"/>
      <c r="J109" s="60"/>
      <c r="K109" s="60">
        <v>3</v>
      </c>
      <c r="L109" s="60">
        <v>3</v>
      </c>
      <c r="M109" s="60">
        <v>3</v>
      </c>
      <c r="N109" s="60"/>
    </row>
    <row r="110" spans="2:25">
      <c r="B110" s="27" t="s">
        <v>598</v>
      </c>
      <c r="C110" s="33" t="s">
        <v>599</v>
      </c>
      <c r="D110" s="33" t="s">
        <v>436</v>
      </c>
      <c r="E110" s="33" t="s">
        <v>573</v>
      </c>
      <c r="F110" s="33"/>
      <c r="G110" s="48">
        <f t="shared" ref="G110:N110" si="1">IF(G101="","",IF(G101="Tier 1",1,5))</f>
        <v>5</v>
      </c>
      <c r="H110" s="48">
        <f t="shared" si="1"/>
        <v>5</v>
      </c>
      <c r="I110" s="48">
        <f t="shared" si="1"/>
        <v>5</v>
      </c>
      <c r="J110" s="48">
        <f t="shared" si="1"/>
        <v>5</v>
      </c>
      <c r="K110" s="48">
        <f t="shared" si="1"/>
        <v>1</v>
      </c>
      <c r="L110" s="48">
        <f t="shared" si="1"/>
        <v>1</v>
      </c>
      <c r="M110" s="48">
        <f t="shared" si="1"/>
        <v>1</v>
      </c>
      <c r="N110" s="48">
        <f t="shared" si="1"/>
        <v>5</v>
      </c>
    </row>
    <row r="111" spans="2:25">
      <c r="B111" s="27" t="s">
        <v>600</v>
      </c>
      <c r="C111" s="33"/>
      <c r="D111" s="33" t="s">
        <v>432</v>
      </c>
      <c r="E111" s="33" t="s">
        <v>174</v>
      </c>
      <c r="F111" s="33"/>
      <c r="G111" s="64">
        <f t="shared" ref="G111:N111" si="2">IF(G101="","",IF(N(G108)&lt;=1,$F$42,DATE(YEAR($F$42)+G108-1,1,1)))</f>
        <v>46388</v>
      </c>
      <c r="H111" s="64">
        <f t="shared" si="2"/>
        <v>46388</v>
      </c>
      <c r="I111" s="64">
        <f t="shared" si="2"/>
        <v>46388</v>
      </c>
      <c r="J111" s="64">
        <f t="shared" si="2"/>
        <v>46388</v>
      </c>
      <c r="K111" s="64">
        <f t="shared" si="2"/>
        <v>46388</v>
      </c>
      <c r="L111" s="64">
        <f t="shared" si="2"/>
        <v>46753</v>
      </c>
      <c r="M111" s="64">
        <f t="shared" si="2"/>
        <v>47119</v>
      </c>
      <c r="N111" s="64">
        <f t="shared" si="2"/>
        <v>46388</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1</v>
      </c>
      <c r="P117" s="48">
        <f t="shared" si="6"/>
        <v>1</v>
      </c>
      <c r="Q117" s="48">
        <f t="shared" si="6"/>
        <v>1</v>
      </c>
      <c r="R117" s="48">
        <f t="shared" si="6"/>
        <v>1</v>
      </c>
      <c r="S117" s="48">
        <f t="shared" si="6"/>
        <v>0</v>
      </c>
      <c r="T117" s="48">
        <f t="shared" si="6"/>
        <v>0</v>
      </c>
      <c r="U117" s="48">
        <f t="shared" si="6"/>
        <v>0</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365</v>
      </c>
      <c r="P120" s="67">
        <f t="shared" si="9"/>
        <v>366</v>
      </c>
      <c r="Q120" s="67">
        <f t="shared" si="9"/>
        <v>365</v>
      </c>
      <c r="R120" s="67">
        <f t="shared" si="9"/>
        <v>365</v>
      </c>
      <c r="S120" s="67">
        <f t="shared" si="9"/>
        <v>0</v>
      </c>
      <c r="T120" s="67">
        <f t="shared" si="9"/>
        <v>0</v>
      </c>
      <c r="U120" s="67">
        <f t="shared" si="9"/>
        <v>0</v>
      </c>
      <c r="V120" s="67">
        <f>SUMPRODUCT($G$117:$U$117,G120:U120)</f>
        <v>4383</v>
      </c>
    </row>
    <row r="121" spans="2:25">
      <c r="B121" s="27" t="s">
        <v>612</v>
      </c>
      <c r="C121" s="33" t="s">
        <v>233</v>
      </c>
      <c r="D121" s="33" t="s">
        <v>398</v>
      </c>
      <c r="E121" s="33" t="s">
        <v>232</v>
      </c>
      <c r="F121" s="33"/>
      <c r="G121" s="58">
        <f t="shared" ref="G121:U121" si="10">IF(G$117=0,0,IF(G$115&lt;=2030,$F$39,IF(G$115&lt;=2035,IF(ISNUMBER($F$40),$F$40,$F$39),IF(ISNUMBER($F$41),$F$41,IF(ISNUMBER($F$40),$F$40,$F$39)))))</f>
        <v>2.0400000000000001E-2</v>
      </c>
      <c r="H121" s="58">
        <f t="shared" si="10"/>
        <v>2.0400000000000001E-2</v>
      </c>
      <c r="I121" s="58">
        <f t="shared" si="10"/>
        <v>2.0400000000000001E-2</v>
      </c>
      <c r="J121" s="58">
        <f t="shared" si="10"/>
        <v>2.0400000000000001E-2</v>
      </c>
      <c r="K121" s="58">
        <f t="shared" si="10"/>
        <v>2.0400000000000001E-2</v>
      </c>
      <c r="L121" s="58">
        <f t="shared" si="10"/>
        <v>2.0400000000000001E-2</v>
      </c>
      <c r="M121" s="58">
        <f t="shared" si="10"/>
        <v>2.0400000000000001E-2</v>
      </c>
      <c r="N121" s="58">
        <f t="shared" si="10"/>
        <v>2.0400000000000001E-2</v>
      </c>
      <c r="O121" s="58">
        <f t="shared" si="10"/>
        <v>2.0400000000000001E-2</v>
      </c>
      <c r="P121" s="58">
        <f t="shared" si="10"/>
        <v>2.0400000000000001E-2</v>
      </c>
      <c r="Q121" s="58">
        <f t="shared" si="10"/>
        <v>2.0400000000000001E-2</v>
      </c>
      <c r="R121" s="58">
        <f t="shared" si="10"/>
        <v>2.0400000000000001E-2</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Carried forward: replace when published</v>
      </c>
      <c r="P122" s="44" t="str">
        <f t="shared" si="11"/>
        <v>Carried forward: replace when published</v>
      </c>
      <c r="Q122" s="44" t="str">
        <f t="shared" si="11"/>
        <v>Carried forward: replace when published</v>
      </c>
      <c r="R122" s="44" t="str">
        <f t="shared" si="11"/>
        <v>Carried forward: replace when published</v>
      </c>
      <c r="S122" s="44" t="str">
        <f t="shared" si="11"/>
        <v/>
      </c>
      <c r="T122" s="44" t="str">
        <f t="shared" si="11"/>
        <v/>
      </c>
      <c r="U122" s="44" t="str">
        <f t="shared" si="11"/>
        <v/>
      </c>
      <c r="V122" s="33"/>
    </row>
    <row r="123" spans="2:25" ht="22.5">
      <c r="B123" s="25" t="str">
        <f>"Stratum 1: "&amp;IF(G$74="","not used",G$74)</f>
        <v>Stratum 1: Open defecation or unimproved (suppressed demand), CBS</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30000</v>
      </c>
      <c r="H124" s="63">
        <v>48000</v>
      </c>
      <c r="I124" s="63">
        <v>60000</v>
      </c>
      <c r="J124" s="63">
        <v>60000</v>
      </c>
      <c r="K124" s="63">
        <v>60000</v>
      </c>
      <c r="L124" s="63">
        <v>60000</v>
      </c>
      <c r="M124" s="63">
        <v>60000</v>
      </c>
      <c r="N124" s="63">
        <v>60000</v>
      </c>
      <c r="O124" s="63">
        <v>60000</v>
      </c>
      <c r="P124" s="63">
        <v>60000</v>
      </c>
      <c r="Q124" s="63">
        <v>60000</v>
      </c>
      <c r="R124" s="63">
        <v>60000</v>
      </c>
      <c r="S124" s="63">
        <v>60000</v>
      </c>
      <c r="T124" s="63">
        <v>60000</v>
      </c>
      <c r="U124" s="63">
        <v>60000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1</v>
      </c>
      <c r="P127" s="45">
        <f t="shared" si="13"/>
        <v>1</v>
      </c>
      <c r="Q127" s="45">
        <f t="shared" si="13"/>
        <v>1</v>
      </c>
      <c r="R127" s="45">
        <f t="shared" si="13"/>
        <v>1</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2777.8419900000004</v>
      </c>
      <c r="H128" s="34">
        <f t="shared" si="14"/>
        <v>4456.7240256000005</v>
      </c>
      <c r="I128" s="34">
        <f t="shared" si="14"/>
        <v>5555.6839800000007</v>
      </c>
      <c r="J128" s="34">
        <f t="shared" si="14"/>
        <v>5555.6839800000007</v>
      </c>
      <c r="K128" s="34">
        <f t="shared" si="14"/>
        <v>5555.6839800000007</v>
      </c>
      <c r="L128" s="34">
        <f t="shared" si="14"/>
        <v>5570.9050319999997</v>
      </c>
      <c r="M128" s="34">
        <f t="shared" si="14"/>
        <v>5555.6839800000007</v>
      </c>
      <c r="N128" s="34">
        <f t="shared" si="14"/>
        <v>5555.6839800000007</v>
      </c>
      <c r="O128" s="34">
        <f t="shared" si="14"/>
        <v>5555.6839800000007</v>
      </c>
      <c r="P128" s="34">
        <f t="shared" si="14"/>
        <v>5570.9050319999997</v>
      </c>
      <c r="Q128" s="34">
        <f t="shared" si="14"/>
        <v>5555.6839800000007</v>
      </c>
      <c r="R128" s="34">
        <f t="shared" si="14"/>
        <v>5555.6839800000007</v>
      </c>
      <c r="S128" s="34">
        <f t="shared" si="14"/>
        <v>0</v>
      </c>
      <c r="T128" s="34">
        <f t="shared" si="14"/>
        <v>0</v>
      </c>
      <c r="U128" s="34">
        <f t="shared" si="14"/>
        <v>0</v>
      </c>
      <c r="V128" s="34">
        <f t="shared" ref="V128:V136" si="15">SUMPRODUCT($G$117:$U$117,G128:U128)</f>
        <v>62821.847919600012</v>
      </c>
    </row>
    <row r="129" spans="2:25">
      <c r="B129" s="27" t="s">
        <v>628</v>
      </c>
      <c r="C129" s="33" t="s">
        <v>629</v>
      </c>
      <c r="D129" s="33" t="s">
        <v>359</v>
      </c>
      <c r="E129" s="33" t="s">
        <v>129</v>
      </c>
      <c r="F129" s="33"/>
      <c r="G129" s="34">
        <f t="shared" ref="G129:U129" si="16">IF($G$75="",0,G128*$G$83)</f>
        <v>1923.0976578735317</v>
      </c>
      <c r="H129" s="34">
        <f t="shared" si="16"/>
        <v>3085.3862697280551</v>
      </c>
      <c r="I129" s="34">
        <f t="shared" si="16"/>
        <v>3846.1953157470634</v>
      </c>
      <c r="J129" s="34">
        <f t="shared" si="16"/>
        <v>3846.1953157470634</v>
      </c>
      <c r="K129" s="34">
        <f t="shared" si="16"/>
        <v>3846.1953157470634</v>
      </c>
      <c r="L129" s="34">
        <f t="shared" si="16"/>
        <v>3856.7328371600684</v>
      </c>
      <c r="M129" s="34">
        <f t="shared" si="16"/>
        <v>3846.1953157470634</v>
      </c>
      <c r="N129" s="34">
        <f t="shared" si="16"/>
        <v>3846.1953157470634</v>
      </c>
      <c r="O129" s="34">
        <f t="shared" si="16"/>
        <v>3846.1953157470634</v>
      </c>
      <c r="P129" s="34">
        <f t="shared" si="16"/>
        <v>3856.7328371600684</v>
      </c>
      <c r="Q129" s="34">
        <f t="shared" si="16"/>
        <v>3846.1953157470634</v>
      </c>
      <c r="R129" s="34">
        <f t="shared" si="16"/>
        <v>3846.1953157470634</v>
      </c>
      <c r="S129" s="34">
        <f t="shared" si="16"/>
        <v>0</v>
      </c>
      <c r="T129" s="34">
        <f t="shared" si="16"/>
        <v>0</v>
      </c>
      <c r="U129" s="34">
        <f t="shared" si="16"/>
        <v>0</v>
      </c>
      <c r="V129" s="34">
        <f t="shared" si="15"/>
        <v>43491.512127898226</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1610.7058281332395</v>
      </c>
      <c r="H136" s="34">
        <f t="shared" si="23"/>
        <v>2613.809908321181</v>
      </c>
      <c r="I136" s="34">
        <f t="shared" si="23"/>
        <v>3258.3354389932761</v>
      </c>
      <c r="J136" s="34">
        <f t="shared" si="23"/>
        <v>3258.3354389932761</v>
      </c>
      <c r="K136" s="34">
        <f t="shared" si="23"/>
        <v>3258.3354389932761</v>
      </c>
      <c r="L136" s="34">
        <f t="shared" si="23"/>
        <v>3267.262385401476</v>
      </c>
      <c r="M136" s="34">
        <f t="shared" si="23"/>
        <v>3258.3354389932761</v>
      </c>
      <c r="N136" s="34">
        <f t="shared" si="23"/>
        <v>3258.3354389932761</v>
      </c>
      <c r="O136" s="34">
        <f t="shared" si="23"/>
        <v>3258.3354389932761</v>
      </c>
      <c r="P136" s="34">
        <f t="shared" si="23"/>
        <v>3267.262385401476</v>
      </c>
      <c r="Q136" s="34">
        <f t="shared" si="23"/>
        <v>3258.3354389932761</v>
      </c>
      <c r="R136" s="34">
        <f t="shared" si="23"/>
        <v>3258.3354389932761</v>
      </c>
      <c r="S136" s="34">
        <f t="shared" si="23"/>
        <v>0</v>
      </c>
      <c r="T136" s="34">
        <f t="shared" si="23"/>
        <v>0</v>
      </c>
      <c r="U136" s="34">
        <f t="shared" si="23"/>
        <v>0</v>
      </c>
      <c r="V136" s="34">
        <f t="shared" si="15"/>
        <v>36825.724019203582</v>
      </c>
      <c r="Y136" s="50" t="s">
        <v>643</v>
      </c>
    </row>
    <row r="137" spans="2:25" ht="22.5">
      <c r="B137" s="25" t="str">
        <f>"Stratum 2: "&amp;IF(H$74="","not used",H$74)</f>
        <v>Stratum 2: Wet pit latrines decommissioned; households moved to CBS</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20000</v>
      </c>
      <c r="H138" s="63">
        <v>32000</v>
      </c>
      <c r="I138" s="63">
        <v>40000</v>
      </c>
      <c r="J138" s="63">
        <v>40000</v>
      </c>
      <c r="K138" s="63">
        <v>40000</v>
      </c>
      <c r="L138" s="63">
        <v>40000</v>
      </c>
      <c r="M138" s="63">
        <v>40000</v>
      </c>
      <c r="N138" s="63">
        <v>40000</v>
      </c>
      <c r="O138" s="63">
        <v>40000</v>
      </c>
      <c r="P138" s="63">
        <v>40000</v>
      </c>
      <c r="Q138" s="63">
        <v>40000</v>
      </c>
      <c r="R138" s="63">
        <v>40000</v>
      </c>
      <c r="S138" s="63">
        <v>40000</v>
      </c>
      <c r="T138" s="63">
        <v>40000</v>
      </c>
      <c r="U138" s="63">
        <v>40000</v>
      </c>
      <c r="V138" s="33"/>
    </row>
    <row r="139" spans="2:25">
      <c r="B139" s="27" t="s">
        <v>617</v>
      </c>
      <c r="C139" s="33" t="s">
        <v>618</v>
      </c>
      <c r="D139" s="33" t="s">
        <v>619</v>
      </c>
      <c r="E139" s="33" t="s">
        <v>255</v>
      </c>
      <c r="F139" s="33"/>
      <c r="G139" s="68"/>
      <c r="H139" s="68"/>
      <c r="I139" s="68"/>
      <c r="J139" s="68"/>
      <c r="K139" s="68"/>
      <c r="L139" s="68"/>
      <c r="M139" s="68"/>
      <c r="N139" s="68"/>
      <c r="O139" s="68"/>
      <c r="P139" s="68"/>
      <c r="Q139" s="68"/>
      <c r="R139" s="68"/>
      <c r="S139" s="68"/>
      <c r="T139" s="68"/>
      <c r="U139" s="68"/>
      <c r="V139" s="43">
        <f>SUMPRODUCT($G$117:$U$117,G139:U139)</f>
        <v>0</v>
      </c>
      <c r="Y139" s="50" t="s">
        <v>620</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v>
      </c>
      <c r="H141" s="45">
        <f t="shared" si="25"/>
        <v>1</v>
      </c>
      <c r="I141" s="45">
        <f t="shared" si="25"/>
        <v>1</v>
      </c>
      <c r="J141" s="45">
        <f t="shared" si="25"/>
        <v>1</v>
      </c>
      <c r="K141" s="45">
        <f t="shared" si="25"/>
        <v>1</v>
      </c>
      <c r="L141" s="45">
        <f t="shared" si="25"/>
        <v>1</v>
      </c>
      <c r="M141" s="45">
        <f t="shared" si="25"/>
        <v>1</v>
      </c>
      <c r="N141" s="45">
        <f t="shared" si="25"/>
        <v>1</v>
      </c>
      <c r="O141" s="45">
        <f t="shared" si="25"/>
        <v>1</v>
      </c>
      <c r="P141" s="45">
        <f t="shared" si="25"/>
        <v>1</v>
      </c>
      <c r="Q141" s="45">
        <f t="shared" si="25"/>
        <v>1</v>
      </c>
      <c r="R141" s="45">
        <f t="shared" si="25"/>
        <v>1</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3544.2959999999998</v>
      </c>
      <c r="H142" s="34">
        <f t="shared" si="26"/>
        <v>5686.4102399999992</v>
      </c>
      <c r="I142" s="34">
        <f t="shared" si="26"/>
        <v>7088.5919999999996</v>
      </c>
      <c r="J142" s="34">
        <f t="shared" si="26"/>
        <v>7088.5919999999996</v>
      </c>
      <c r="K142" s="34">
        <f t="shared" si="26"/>
        <v>7088.5919999999996</v>
      </c>
      <c r="L142" s="34">
        <f t="shared" si="26"/>
        <v>7108.0127999999995</v>
      </c>
      <c r="M142" s="34">
        <f t="shared" si="26"/>
        <v>7088.5919999999996</v>
      </c>
      <c r="N142" s="34">
        <f t="shared" si="26"/>
        <v>7088.5919999999996</v>
      </c>
      <c r="O142" s="34">
        <f t="shared" si="26"/>
        <v>7088.5919999999996</v>
      </c>
      <c r="P142" s="34">
        <f t="shared" si="26"/>
        <v>7108.0127999999995</v>
      </c>
      <c r="Q142" s="34">
        <f t="shared" si="26"/>
        <v>7088.5919999999996</v>
      </c>
      <c r="R142" s="34">
        <f t="shared" si="26"/>
        <v>7088.5919999999996</v>
      </c>
      <c r="S142" s="34">
        <f t="shared" si="26"/>
        <v>0</v>
      </c>
      <c r="T142" s="34">
        <f t="shared" si="26"/>
        <v>0</v>
      </c>
      <c r="U142" s="34">
        <f t="shared" si="26"/>
        <v>0</v>
      </c>
      <c r="V142" s="34">
        <f t="shared" ref="V142:V150" si="27">SUMPRODUCT($G$117:$U$117,G142:U142)</f>
        <v>80155.467839999998</v>
      </c>
    </row>
    <row r="143" spans="2:25">
      <c r="B143" s="27" t="s">
        <v>628</v>
      </c>
      <c r="C143" s="33" t="s">
        <v>629</v>
      </c>
      <c r="D143" s="33" t="s">
        <v>359</v>
      </c>
      <c r="E143" s="33" t="s">
        <v>129</v>
      </c>
      <c r="F143" s="33"/>
      <c r="G143" s="34">
        <f t="shared" ref="G143:U143" si="28">IF($H$75="",0,G142*$H$83)</f>
        <v>2501.0501938799994</v>
      </c>
      <c r="H143" s="34">
        <f t="shared" si="28"/>
        <v>4012.6438179071988</v>
      </c>
      <c r="I143" s="34">
        <f t="shared" si="28"/>
        <v>5002.1003877599987</v>
      </c>
      <c r="J143" s="34">
        <f t="shared" si="28"/>
        <v>5002.1003877599987</v>
      </c>
      <c r="K143" s="34">
        <f t="shared" si="28"/>
        <v>5002.1003877599987</v>
      </c>
      <c r="L143" s="34">
        <f t="shared" si="28"/>
        <v>5015.8047723839991</v>
      </c>
      <c r="M143" s="34">
        <f t="shared" si="28"/>
        <v>5002.1003877599987</v>
      </c>
      <c r="N143" s="34">
        <f t="shared" si="28"/>
        <v>5002.1003877599987</v>
      </c>
      <c r="O143" s="34">
        <f t="shared" si="28"/>
        <v>5002.1003877599987</v>
      </c>
      <c r="P143" s="34">
        <f t="shared" si="28"/>
        <v>5015.8047723839991</v>
      </c>
      <c r="Q143" s="34">
        <f t="shared" si="28"/>
        <v>5002.1003877599987</v>
      </c>
      <c r="R143" s="34">
        <f t="shared" si="28"/>
        <v>5002.1003877599987</v>
      </c>
      <c r="S143" s="34">
        <f t="shared" si="28"/>
        <v>0</v>
      </c>
      <c r="T143" s="34">
        <f t="shared" si="28"/>
        <v>0</v>
      </c>
      <c r="U143" s="34">
        <f t="shared" si="28"/>
        <v>0</v>
      </c>
      <c r="V143" s="34">
        <f t="shared" si="27"/>
        <v>56562.106658635195</v>
      </c>
    </row>
    <row r="144" spans="2:25" ht="21">
      <c r="B144" s="27" t="s">
        <v>630</v>
      </c>
      <c r="C144" s="33" t="s">
        <v>631</v>
      </c>
      <c r="D144" s="33" t="s">
        <v>359</v>
      </c>
      <c r="E144" s="33" t="s">
        <v>632</v>
      </c>
      <c r="F144" s="33"/>
      <c r="G144" s="34">
        <f t="shared" ref="G144:U144" si="29">IF(OR($H$88="FST",$H$88="WW"),N(G138)*G$120*$F$22*$F$25*$H$90*G141*$F$30/1000,0)</f>
        <v>0</v>
      </c>
      <c r="H144" s="34">
        <f t="shared" si="29"/>
        <v>0</v>
      </c>
      <c r="I144" s="34">
        <f t="shared" si="29"/>
        <v>0</v>
      </c>
      <c r="J144" s="34">
        <f t="shared" si="29"/>
        <v>0</v>
      </c>
      <c r="K144" s="34">
        <f t="shared" si="29"/>
        <v>0</v>
      </c>
      <c r="L144" s="34">
        <f t="shared" si="29"/>
        <v>0</v>
      </c>
      <c r="M144" s="34">
        <f t="shared" si="29"/>
        <v>0</v>
      </c>
      <c r="N144" s="34">
        <f t="shared" si="29"/>
        <v>0</v>
      </c>
      <c r="O144" s="34">
        <f t="shared" si="29"/>
        <v>0</v>
      </c>
      <c r="P144" s="34">
        <f t="shared" si="29"/>
        <v>0</v>
      </c>
      <c r="Q144" s="34">
        <f t="shared" si="29"/>
        <v>0</v>
      </c>
      <c r="R144" s="34">
        <f t="shared" si="29"/>
        <v>0</v>
      </c>
      <c r="S144" s="34">
        <f t="shared" si="29"/>
        <v>0</v>
      </c>
      <c r="T144" s="34">
        <f t="shared" si="29"/>
        <v>0</v>
      </c>
      <c r="U144" s="34">
        <f t="shared" si="29"/>
        <v>0</v>
      </c>
      <c r="V144" s="34">
        <f t="shared" si="27"/>
        <v>0</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0</v>
      </c>
      <c r="H146" s="34">
        <f t="shared" si="31"/>
        <v>0</v>
      </c>
      <c r="I146" s="34">
        <f t="shared" si="31"/>
        <v>0</v>
      </c>
      <c r="J146" s="34">
        <f t="shared" si="31"/>
        <v>0</v>
      </c>
      <c r="K146" s="34">
        <f t="shared" si="31"/>
        <v>0</v>
      </c>
      <c r="L146" s="34">
        <f t="shared" si="31"/>
        <v>0</v>
      </c>
      <c r="M146" s="34">
        <f t="shared" si="31"/>
        <v>0</v>
      </c>
      <c r="N146" s="34">
        <f t="shared" si="31"/>
        <v>0</v>
      </c>
      <c r="O146" s="34">
        <f t="shared" si="31"/>
        <v>0</v>
      </c>
      <c r="P146" s="34">
        <f t="shared" si="31"/>
        <v>0</v>
      </c>
      <c r="Q146" s="34">
        <f t="shared" si="31"/>
        <v>0</v>
      </c>
      <c r="R146" s="34">
        <f t="shared" si="31"/>
        <v>0</v>
      </c>
      <c r="S146" s="34">
        <f t="shared" si="31"/>
        <v>0</v>
      </c>
      <c r="T146" s="34">
        <f t="shared" si="31"/>
        <v>0</v>
      </c>
      <c r="U146" s="34">
        <f t="shared" si="31"/>
        <v>0</v>
      </c>
      <c r="V146" s="34">
        <f t="shared" si="27"/>
        <v>0</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2094.7745982857446</v>
      </c>
      <c r="H150" s="34">
        <f t="shared" si="35"/>
        <v>3399.3436325021321</v>
      </c>
      <c r="I150" s="34">
        <f t="shared" si="35"/>
        <v>4237.5697604620163</v>
      </c>
      <c r="J150" s="34">
        <f t="shared" si="35"/>
        <v>4237.5697604620163</v>
      </c>
      <c r="K150" s="34">
        <f t="shared" si="35"/>
        <v>4237.5697604620163</v>
      </c>
      <c r="L150" s="34">
        <f t="shared" si="35"/>
        <v>4249.179540627666</v>
      </c>
      <c r="M150" s="34">
        <f t="shared" si="35"/>
        <v>4237.5697604620163</v>
      </c>
      <c r="N150" s="34">
        <f t="shared" si="35"/>
        <v>4237.5697604620163</v>
      </c>
      <c r="O150" s="34">
        <f t="shared" si="35"/>
        <v>4237.5697604620163</v>
      </c>
      <c r="P150" s="34">
        <f t="shared" si="35"/>
        <v>4249.179540627666</v>
      </c>
      <c r="Q150" s="34">
        <f t="shared" si="35"/>
        <v>4237.5697604620163</v>
      </c>
      <c r="R150" s="34">
        <f t="shared" si="35"/>
        <v>4237.5697604620163</v>
      </c>
      <c r="S150" s="34">
        <f t="shared" si="35"/>
        <v>0</v>
      </c>
      <c r="T150" s="34">
        <f t="shared" si="35"/>
        <v>0</v>
      </c>
      <c r="U150" s="34">
        <f t="shared" si="35"/>
        <v>0</v>
      </c>
      <c r="V150" s="34">
        <f t="shared" si="27"/>
        <v>47893.035395739331</v>
      </c>
    </row>
    <row r="151" spans="2:25" ht="22.5">
      <c r="B151" s="25" t="str">
        <f>"Stratum 3: "&amp;IF(I$74="","not used",I$74)</f>
        <v>Stratum 3: Septic tanks emptied; mechanical dewatering and co-composting</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75000</v>
      </c>
      <c r="H152" s="63">
        <v>120000</v>
      </c>
      <c r="I152" s="63">
        <v>150000</v>
      </c>
      <c r="J152" s="63">
        <v>150000</v>
      </c>
      <c r="K152" s="63">
        <v>150000</v>
      </c>
      <c r="L152" s="63">
        <v>150000</v>
      </c>
      <c r="M152" s="63">
        <v>150000</v>
      </c>
      <c r="N152" s="63">
        <v>150000</v>
      </c>
      <c r="O152" s="63">
        <v>150000</v>
      </c>
      <c r="P152" s="63">
        <v>150000</v>
      </c>
      <c r="Q152" s="63">
        <v>150000</v>
      </c>
      <c r="R152" s="63">
        <v>150000</v>
      </c>
      <c r="S152" s="63">
        <v>150000</v>
      </c>
      <c r="T152" s="63">
        <v>150000</v>
      </c>
      <c r="U152" s="63">
        <v>150000</v>
      </c>
      <c r="V152" s="33"/>
    </row>
    <row r="153" spans="2:25">
      <c r="B153" s="27" t="s">
        <v>617</v>
      </c>
      <c r="C153" s="33" t="s">
        <v>618</v>
      </c>
      <c r="D153" s="33" t="s">
        <v>619</v>
      </c>
      <c r="E153" s="33" t="s">
        <v>255</v>
      </c>
      <c r="F153" s="33"/>
      <c r="G153" s="68"/>
      <c r="H153" s="68"/>
      <c r="I153" s="68"/>
      <c r="J153" s="68"/>
      <c r="K153" s="68"/>
      <c r="L153" s="68"/>
      <c r="M153" s="68"/>
      <c r="N153" s="68"/>
      <c r="O153" s="68"/>
      <c r="P153" s="68"/>
      <c r="Q153" s="68"/>
      <c r="R153" s="68"/>
      <c r="S153" s="68"/>
      <c r="T153" s="68"/>
      <c r="U153" s="68"/>
      <c r="V153" s="43">
        <f>SUMPRODUCT($G$117:$U$117,G153:U153)</f>
        <v>0</v>
      </c>
      <c r="Y153" s="50" t="s">
        <v>620</v>
      </c>
    </row>
    <row r="154" spans="2:25">
      <c r="B154" s="27" t="s">
        <v>621</v>
      </c>
      <c r="C154" s="33" t="s">
        <v>622</v>
      </c>
      <c r="D154" s="33" t="s">
        <v>619</v>
      </c>
      <c r="E154" s="33" t="s">
        <v>168</v>
      </c>
      <c r="F154" s="33"/>
      <c r="G154" s="68"/>
      <c r="H154" s="68"/>
      <c r="I154" s="68"/>
      <c r="J154" s="68"/>
      <c r="K154" s="68"/>
      <c r="L154" s="68"/>
      <c r="M154" s="68"/>
      <c r="N154" s="68"/>
      <c r="O154" s="68"/>
      <c r="P154" s="68"/>
      <c r="Q154" s="68"/>
      <c r="R154" s="68"/>
      <c r="S154" s="68"/>
      <c r="T154" s="68"/>
      <c r="U154" s="68"/>
      <c r="V154" s="43">
        <f>SUMPRODUCT($G$117:$U$117,G154:U154)</f>
        <v>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0.5</v>
      </c>
      <c r="H155" s="45">
        <f t="shared" si="37"/>
        <v>0.5</v>
      </c>
      <c r="I155" s="45">
        <f t="shared" si="37"/>
        <v>0.5</v>
      </c>
      <c r="J155" s="45">
        <f t="shared" si="37"/>
        <v>0.5</v>
      </c>
      <c r="K155" s="45">
        <f t="shared" si="37"/>
        <v>0.5</v>
      </c>
      <c r="L155" s="45">
        <f t="shared" si="37"/>
        <v>0.5</v>
      </c>
      <c r="M155" s="45">
        <f t="shared" si="37"/>
        <v>0.5</v>
      </c>
      <c r="N155" s="45">
        <f t="shared" si="37"/>
        <v>0.5</v>
      </c>
      <c r="O155" s="45">
        <f t="shared" si="37"/>
        <v>0.5</v>
      </c>
      <c r="P155" s="45">
        <f t="shared" si="37"/>
        <v>0.5</v>
      </c>
      <c r="Q155" s="45">
        <f t="shared" si="37"/>
        <v>0.5</v>
      </c>
      <c r="R155" s="45">
        <f t="shared" si="37"/>
        <v>0.5</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5081.8950000000004</v>
      </c>
      <c r="H156" s="34">
        <f t="shared" si="38"/>
        <v>8153.3088000000007</v>
      </c>
      <c r="I156" s="34">
        <f t="shared" si="38"/>
        <v>10163.790000000001</v>
      </c>
      <c r="J156" s="34">
        <f t="shared" si="38"/>
        <v>10163.790000000001</v>
      </c>
      <c r="K156" s="34">
        <f t="shared" si="38"/>
        <v>10163.790000000001</v>
      </c>
      <c r="L156" s="34">
        <f t="shared" si="38"/>
        <v>10191.636</v>
      </c>
      <c r="M156" s="34">
        <f t="shared" si="38"/>
        <v>10163.790000000001</v>
      </c>
      <c r="N156" s="34">
        <f t="shared" si="38"/>
        <v>10163.790000000001</v>
      </c>
      <c r="O156" s="34">
        <f t="shared" si="38"/>
        <v>10163.790000000001</v>
      </c>
      <c r="P156" s="34">
        <f t="shared" si="38"/>
        <v>10191.636</v>
      </c>
      <c r="Q156" s="34">
        <f t="shared" si="38"/>
        <v>10163.790000000001</v>
      </c>
      <c r="R156" s="34">
        <f t="shared" si="38"/>
        <v>10163.790000000001</v>
      </c>
      <c r="S156" s="34">
        <f t="shared" si="38"/>
        <v>0</v>
      </c>
      <c r="T156" s="34">
        <f t="shared" si="38"/>
        <v>0</v>
      </c>
      <c r="U156" s="34">
        <f t="shared" si="38"/>
        <v>0</v>
      </c>
      <c r="V156" s="34">
        <f t="shared" ref="V156:V164" si="39">SUMPRODUCT($G$117:$U$117,G156:U156)</f>
        <v>114928.79580000002</v>
      </c>
    </row>
    <row r="157" spans="2:25">
      <c r="B157" s="27" t="s">
        <v>628</v>
      </c>
      <c r="C157" s="33" t="s">
        <v>629</v>
      </c>
      <c r="D157" s="33" t="s">
        <v>359</v>
      </c>
      <c r="E157" s="33" t="s">
        <v>129</v>
      </c>
      <c r="F157" s="33"/>
      <c r="G157" s="34">
        <f t="shared" ref="G157:U157" si="40">IF($I$75="",0,G156*$I$83)</f>
        <v>3522.7691319820028</v>
      </c>
      <c r="H157" s="34">
        <f t="shared" si="40"/>
        <v>5651.8728868182488</v>
      </c>
      <c r="I157" s="34">
        <f t="shared" si="40"/>
        <v>7045.5382639640056</v>
      </c>
      <c r="J157" s="34">
        <f t="shared" si="40"/>
        <v>7045.5382639640056</v>
      </c>
      <c r="K157" s="34">
        <f t="shared" si="40"/>
        <v>7045.5382639640056</v>
      </c>
      <c r="L157" s="34">
        <f t="shared" si="40"/>
        <v>7064.8411085228108</v>
      </c>
      <c r="M157" s="34">
        <f t="shared" si="40"/>
        <v>7045.5382639640056</v>
      </c>
      <c r="N157" s="34">
        <f t="shared" si="40"/>
        <v>7045.5382639640056</v>
      </c>
      <c r="O157" s="34">
        <f t="shared" si="40"/>
        <v>7045.5382639640056</v>
      </c>
      <c r="P157" s="34">
        <f t="shared" si="40"/>
        <v>7064.8411085228108</v>
      </c>
      <c r="Q157" s="34">
        <f t="shared" si="40"/>
        <v>7045.5382639640056</v>
      </c>
      <c r="R157" s="34">
        <f t="shared" si="40"/>
        <v>7045.5382639640056</v>
      </c>
      <c r="S157" s="34">
        <f t="shared" si="40"/>
        <v>0</v>
      </c>
      <c r="T157" s="34">
        <f t="shared" si="40"/>
        <v>0</v>
      </c>
      <c r="U157" s="34">
        <f t="shared" si="40"/>
        <v>0</v>
      </c>
      <c r="V157" s="34">
        <f t="shared" si="39"/>
        <v>79668.630347557919</v>
      </c>
    </row>
    <row r="158" spans="2:25" ht="21">
      <c r="B158" s="27" t="s">
        <v>630</v>
      </c>
      <c r="C158" s="33" t="s">
        <v>631</v>
      </c>
      <c r="D158" s="33" t="s">
        <v>359</v>
      </c>
      <c r="E158" s="33" t="s">
        <v>632</v>
      </c>
      <c r="F158" s="33"/>
      <c r="G158" s="34">
        <f t="shared" ref="G158:U158" si="41">IF(OR($I$88="FST",$I$88="WW"),N(G152)*G$120*$F$22*$F$25*$I$90*G155*$F$30/1000,0)</f>
        <v>0</v>
      </c>
      <c r="H158" s="34">
        <f t="shared" si="41"/>
        <v>0</v>
      </c>
      <c r="I158" s="34">
        <f t="shared" si="41"/>
        <v>0</v>
      </c>
      <c r="J158" s="34">
        <f t="shared" si="41"/>
        <v>0</v>
      </c>
      <c r="K158" s="34">
        <f t="shared" si="41"/>
        <v>0</v>
      </c>
      <c r="L158" s="34">
        <f t="shared" si="41"/>
        <v>0</v>
      </c>
      <c r="M158" s="34">
        <f t="shared" si="41"/>
        <v>0</v>
      </c>
      <c r="N158" s="34">
        <f t="shared" si="41"/>
        <v>0</v>
      </c>
      <c r="O158" s="34">
        <f t="shared" si="41"/>
        <v>0</v>
      </c>
      <c r="P158" s="34">
        <f t="shared" si="41"/>
        <v>0</v>
      </c>
      <c r="Q158" s="34">
        <f t="shared" si="41"/>
        <v>0</v>
      </c>
      <c r="R158" s="34">
        <f t="shared" si="41"/>
        <v>0</v>
      </c>
      <c r="S158" s="34">
        <f t="shared" si="41"/>
        <v>0</v>
      </c>
      <c r="T158" s="34">
        <f t="shared" si="41"/>
        <v>0</v>
      </c>
      <c r="U158" s="34">
        <f t="shared" si="41"/>
        <v>0</v>
      </c>
      <c r="V158" s="34">
        <f t="shared" si="39"/>
        <v>0</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0</v>
      </c>
      <c r="H160" s="34">
        <f t="shared" si="43"/>
        <v>0</v>
      </c>
      <c r="I160" s="34">
        <f t="shared" si="43"/>
        <v>0</v>
      </c>
      <c r="J160" s="34">
        <f t="shared" si="43"/>
        <v>0</v>
      </c>
      <c r="K160" s="34">
        <f t="shared" si="43"/>
        <v>0</v>
      </c>
      <c r="L160" s="34">
        <f t="shared" si="43"/>
        <v>0</v>
      </c>
      <c r="M160" s="34">
        <f t="shared" si="43"/>
        <v>0</v>
      </c>
      <c r="N160" s="34">
        <f t="shared" si="43"/>
        <v>0</v>
      </c>
      <c r="O160" s="34">
        <f t="shared" si="43"/>
        <v>0</v>
      </c>
      <c r="P160" s="34">
        <f t="shared" si="43"/>
        <v>0</v>
      </c>
      <c r="Q160" s="34">
        <f t="shared" si="43"/>
        <v>0</v>
      </c>
      <c r="R160" s="34">
        <f t="shared" si="43"/>
        <v>0</v>
      </c>
      <c r="S160" s="34">
        <f t="shared" si="43"/>
        <v>0</v>
      </c>
      <c r="T160" s="34">
        <f t="shared" si="43"/>
        <v>0</v>
      </c>
      <c r="U160" s="34">
        <f t="shared" si="43"/>
        <v>0</v>
      </c>
      <c r="V160" s="34">
        <f t="shared" si="39"/>
        <v>0</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2950.523468644582</v>
      </c>
      <c r="H164" s="34">
        <f t="shared" si="47"/>
        <v>4788.0297832010046</v>
      </c>
      <c r="I164" s="34">
        <f t="shared" si="47"/>
        <v>5968.6846682662799</v>
      </c>
      <c r="J164" s="34">
        <f t="shared" si="47"/>
        <v>5968.6846682662799</v>
      </c>
      <c r="K164" s="34">
        <f t="shared" si="47"/>
        <v>5968.6846682662799</v>
      </c>
      <c r="L164" s="34">
        <f t="shared" si="47"/>
        <v>5985.0372290012565</v>
      </c>
      <c r="M164" s="34">
        <f t="shared" si="47"/>
        <v>5968.6846682662799</v>
      </c>
      <c r="N164" s="34">
        <f t="shared" si="47"/>
        <v>5968.6846682662799</v>
      </c>
      <c r="O164" s="34">
        <f t="shared" si="47"/>
        <v>5968.6846682662799</v>
      </c>
      <c r="P164" s="34">
        <f t="shared" si="47"/>
        <v>5985.0372290012565</v>
      </c>
      <c r="Q164" s="34">
        <f t="shared" si="47"/>
        <v>5968.6846682662799</v>
      </c>
      <c r="R164" s="34">
        <f t="shared" si="47"/>
        <v>5968.6846682662799</v>
      </c>
      <c r="S164" s="34">
        <f t="shared" si="47"/>
        <v>0</v>
      </c>
      <c r="T164" s="34">
        <f t="shared" si="47"/>
        <v>0</v>
      </c>
      <c r="U164" s="34">
        <f t="shared" si="47"/>
        <v>0</v>
      </c>
      <c r="V164" s="34">
        <f t="shared" si="39"/>
        <v>67458.105055978347</v>
      </c>
    </row>
    <row r="165" spans="2:25" ht="22.5">
      <c r="B165" s="25" t="str">
        <f>"Stratum 4: "&amp;IF(J$74="","not used",J$74)</f>
        <v>Stratum 4: Sewered area, sewer discharging untreated; aerobic treatment</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v>30000</v>
      </c>
      <c r="H166" s="63">
        <v>30000</v>
      </c>
      <c r="I166" s="63">
        <v>30000</v>
      </c>
      <c r="J166" s="63">
        <v>30000</v>
      </c>
      <c r="K166" s="63">
        <v>30000</v>
      </c>
      <c r="L166" s="63">
        <v>30000</v>
      </c>
      <c r="M166" s="63">
        <v>30000</v>
      </c>
      <c r="N166" s="63">
        <v>30000</v>
      </c>
      <c r="O166" s="63">
        <v>30000</v>
      </c>
      <c r="P166" s="63">
        <v>30000</v>
      </c>
      <c r="Q166" s="63">
        <v>30000</v>
      </c>
      <c r="R166" s="63">
        <v>30000</v>
      </c>
      <c r="S166" s="63">
        <v>30000</v>
      </c>
      <c r="T166" s="63">
        <v>30000</v>
      </c>
      <c r="U166" s="63">
        <v>30000</v>
      </c>
      <c r="V166" s="33"/>
    </row>
    <row r="167" spans="2:25">
      <c r="B167" s="27" t="s">
        <v>617</v>
      </c>
      <c r="C167" s="33" t="s">
        <v>618</v>
      </c>
      <c r="D167" s="33" t="s">
        <v>619</v>
      </c>
      <c r="E167" s="33" t="s">
        <v>255</v>
      </c>
      <c r="F167" s="33"/>
      <c r="G167" s="68"/>
      <c r="H167" s="68"/>
      <c r="I167" s="68"/>
      <c r="J167" s="68"/>
      <c r="K167" s="68"/>
      <c r="L167" s="68"/>
      <c r="M167" s="68"/>
      <c r="N167" s="68"/>
      <c r="O167" s="68"/>
      <c r="P167" s="68"/>
      <c r="Q167" s="68"/>
      <c r="R167" s="68"/>
      <c r="S167" s="68"/>
      <c r="T167" s="68"/>
      <c r="U167" s="68"/>
      <c r="V167" s="43">
        <f>SUMPRODUCT($G$117:$U$117,G167:U167)</f>
        <v>0</v>
      </c>
      <c r="Y167" s="50" t="s">
        <v>620</v>
      </c>
    </row>
    <row r="168" spans="2:25">
      <c r="B168" s="27" t="s">
        <v>621</v>
      </c>
      <c r="C168" s="33" t="s">
        <v>622</v>
      </c>
      <c r="D168" s="33" t="s">
        <v>619</v>
      </c>
      <c r="E168" s="33" t="s">
        <v>168</v>
      </c>
      <c r="F168" s="33"/>
      <c r="G168" s="68"/>
      <c r="H168" s="68"/>
      <c r="I168" s="68"/>
      <c r="J168" s="68"/>
      <c r="K168" s="68"/>
      <c r="L168" s="68"/>
      <c r="M168" s="68"/>
      <c r="N168" s="68"/>
      <c r="O168" s="68"/>
      <c r="P168" s="68"/>
      <c r="Q168" s="68"/>
      <c r="R168" s="68"/>
      <c r="S168" s="68"/>
      <c r="T168" s="68"/>
      <c r="U168" s="68"/>
      <c r="V168" s="43">
        <f>SUMPRODUCT($G$117:$U$117,G168:U168)</f>
        <v>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1</v>
      </c>
      <c r="H169" s="45">
        <f t="shared" si="49"/>
        <v>1</v>
      </c>
      <c r="I169" s="45">
        <f t="shared" si="49"/>
        <v>1</v>
      </c>
      <c r="J169" s="45">
        <f t="shared" si="49"/>
        <v>1</v>
      </c>
      <c r="K169" s="45">
        <f t="shared" si="49"/>
        <v>1</v>
      </c>
      <c r="L169" s="45">
        <f t="shared" si="49"/>
        <v>1</v>
      </c>
      <c r="M169" s="45">
        <f t="shared" si="49"/>
        <v>1</v>
      </c>
      <c r="N169" s="45">
        <f t="shared" si="49"/>
        <v>1</v>
      </c>
      <c r="O169" s="45">
        <f t="shared" si="49"/>
        <v>1</v>
      </c>
      <c r="P169" s="45">
        <f t="shared" si="49"/>
        <v>1</v>
      </c>
      <c r="Q169" s="45">
        <f t="shared" si="49"/>
        <v>1</v>
      </c>
      <c r="R169" s="45">
        <f t="shared" si="49"/>
        <v>1</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3815.3303999999994</v>
      </c>
      <c r="H170" s="34">
        <f t="shared" si="50"/>
        <v>3825.7833599999999</v>
      </c>
      <c r="I170" s="34">
        <f t="shared" si="50"/>
        <v>3815.3303999999994</v>
      </c>
      <c r="J170" s="34">
        <f t="shared" si="50"/>
        <v>3815.3303999999994</v>
      </c>
      <c r="K170" s="34">
        <f t="shared" si="50"/>
        <v>3815.3303999999994</v>
      </c>
      <c r="L170" s="34">
        <f t="shared" si="50"/>
        <v>3825.7833599999999</v>
      </c>
      <c r="M170" s="34">
        <f t="shared" si="50"/>
        <v>3815.3303999999994</v>
      </c>
      <c r="N170" s="34">
        <f t="shared" si="50"/>
        <v>3815.3303999999994</v>
      </c>
      <c r="O170" s="34">
        <f t="shared" si="50"/>
        <v>3815.3303999999994</v>
      </c>
      <c r="P170" s="34">
        <f t="shared" si="50"/>
        <v>3825.7833599999999</v>
      </c>
      <c r="Q170" s="34">
        <f t="shared" si="50"/>
        <v>3815.3303999999994</v>
      </c>
      <c r="R170" s="34">
        <f t="shared" si="50"/>
        <v>3815.3303999999994</v>
      </c>
      <c r="S170" s="34">
        <f t="shared" si="50"/>
        <v>0</v>
      </c>
      <c r="T170" s="34">
        <f t="shared" si="50"/>
        <v>0</v>
      </c>
      <c r="U170" s="34">
        <f t="shared" si="50"/>
        <v>0</v>
      </c>
      <c r="V170" s="34">
        <f t="shared" ref="V170:V178" si="51">SUMPRODUCT($G$117:$U$117,G170:U170)</f>
        <v>45815.323679999994</v>
      </c>
    </row>
    <row r="171" spans="2:25">
      <c r="B171" s="27" t="s">
        <v>628</v>
      </c>
      <c r="C171" s="33" t="s">
        <v>629</v>
      </c>
      <c r="D171" s="33" t="s">
        <v>359</v>
      </c>
      <c r="E171" s="33" t="s">
        <v>129</v>
      </c>
      <c r="F171" s="33"/>
      <c r="G171" s="34">
        <f t="shared" ref="G171:U171" si="52">IF($J$75="",0,G170*$J$83)</f>
        <v>2586.386173716553</v>
      </c>
      <c r="H171" s="34">
        <f t="shared" si="52"/>
        <v>2593.472163233585</v>
      </c>
      <c r="I171" s="34">
        <f t="shared" si="52"/>
        <v>2586.386173716553</v>
      </c>
      <c r="J171" s="34">
        <f t="shared" si="52"/>
        <v>2586.386173716553</v>
      </c>
      <c r="K171" s="34">
        <f t="shared" si="52"/>
        <v>2586.386173716553</v>
      </c>
      <c r="L171" s="34">
        <f t="shared" si="52"/>
        <v>2593.472163233585</v>
      </c>
      <c r="M171" s="34">
        <f t="shared" si="52"/>
        <v>2586.386173716553</v>
      </c>
      <c r="N171" s="34">
        <f t="shared" si="52"/>
        <v>2586.386173716553</v>
      </c>
      <c r="O171" s="34">
        <f t="shared" si="52"/>
        <v>2586.386173716553</v>
      </c>
      <c r="P171" s="34">
        <f t="shared" si="52"/>
        <v>2593.472163233585</v>
      </c>
      <c r="Q171" s="34">
        <f t="shared" si="52"/>
        <v>2586.386173716553</v>
      </c>
      <c r="R171" s="34">
        <f t="shared" si="52"/>
        <v>2586.386173716553</v>
      </c>
      <c r="S171" s="34">
        <f t="shared" si="52"/>
        <v>0</v>
      </c>
      <c r="T171" s="34">
        <f t="shared" si="52"/>
        <v>0</v>
      </c>
      <c r="U171" s="34">
        <f t="shared" si="52"/>
        <v>0</v>
      </c>
      <c r="V171" s="34">
        <f t="shared" si="51"/>
        <v>31057.892053149735</v>
      </c>
    </row>
    <row r="172" spans="2:25" ht="21">
      <c r="B172" s="27" t="s">
        <v>630</v>
      </c>
      <c r="C172" s="33" t="s">
        <v>631</v>
      </c>
      <c r="D172" s="33" t="s">
        <v>359</v>
      </c>
      <c r="E172" s="33" t="s">
        <v>632</v>
      </c>
      <c r="F172" s="33"/>
      <c r="G172" s="34">
        <f t="shared" ref="G172:U172" si="53">IF(OR($J$88="FST",$J$88="WW"),N(G166)*G$120*$F$22*$F$25*$J$90*G169*$F$30/1000,0)</f>
        <v>212.65776000000002</v>
      </c>
      <c r="H172" s="34">
        <f t="shared" si="53"/>
        <v>213.24038400000001</v>
      </c>
      <c r="I172" s="34">
        <f t="shared" si="53"/>
        <v>212.65776000000002</v>
      </c>
      <c r="J172" s="34">
        <f t="shared" si="53"/>
        <v>212.65776000000002</v>
      </c>
      <c r="K172" s="34">
        <f t="shared" si="53"/>
        <v>212.65776000000002</v>
      </c>
      <c r="L172" s="34">
        <f t="shared" si="53"/>
        <v>213.24038400000001</v>
      </c>
      <c r="M172" s="34">
        <f t="shared" si="53"/>
        <v>212.65776000000002</v>
      </c>
      <c r="N172" s="34">
        <f t="shared" si="53"/>
        <v>212.65776000000002</v>
      </c>
      <c r="O172" s="34">
        <f t="shared" si="53"/>
        <v>212.65776000000002</v>
      </c>
      <c r="P172" s="34">
        <f t="shared" si="53"/>
        <v>213.24038400000001</v>
      </c>
      <c r="Q172" s="34">
        <f t="shared" si="53"/>
        <v>212.65776000000002</v>
      </c>
      <c r="R172" s="34">
        <f t="shared" si="53"/>
        <v>212.65776000000002</v>
      </c>
      <c r="S172" s="34">
        <f t="shared" si="53"/>
        <v>0</v>
      </c>
      <c r="T172" s="34">
        <f t="shared" si="53"/>
        <v>0</v>
      </c>
      <c r="U172" s="34">
        <f t="shared" si="53"/>
        <v>0</v>
      </c>
      <c r="V172" s="34">
        <f t="shared" si="51"/>
        <v>2553.6409920000006</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870.47989851428565</v>
      </c>
      <c r="H174" s="34">
        <f t="shared" si="55"/>
        <v>872.86477494857149</v>
      </c>
      <c r="I174" s="34">
        <f t="shared" si="55"/>
        <v>870.47989851428565</v>
      </c>
      <c r="J174" s="34">
        <f t="shared" si="55"/>
        <v>870.47989851428565</v>
      </c>
      <c r="K174" s="34">
        <f t="shared" si="55"/>
        <v>870.47989851428565</v>
      </c>
      <c r="L174" s="34">
        <f t="shared" si="55"/>
        <v>872.86477494857149</v>
      </c>
      <c r="M174" s="34">
        <f t="shared" si="55"/>
        <v>870.47989851428565</v>
      </c>
      <c r="N174" s="34">
        <f t="shared" si="55"/>
        <v>870.47989851428565</v>
      </c>
      <c r="O174" s="34">
        <f t="shared" si="55"/>
        <v>870.47989851428565</v>
      </c>
      <c r="P174" s="34">
        <f t="shared" si="55"/>
        <v>872.86477494857149</v>
      </c>
      <c r="Q174" s="34">
        <f t="shared" si="55"/>
        <v>870.47989851428565</v>
      </c>
      <c r="R174" s="34">
        <f t="shared" si="55"/>
        <v>870.47989851428565</v>
      </c>
      <c r="S174" s="34">
        <f t="shared" si="55"/>
        <v>0</v>
      </c>
      <c r="T174" s="34">
        <f t="shared" si="55"/>
        <v>0</v>
      </c>
      <c r="U174" s="34">
        <f t="shared" si="55"/>
        <v>0</v>
      </c>
      <c r="V174" s="34">
        <f t="shared" si="51"/>
        <v>10452.913411474288</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1083.1107723714031</v>
      </c>
      <c r="H178" s="34">
        <f t="shared" si="59"/>
        <v>1110.975739389839</v>
      </c>
      <c r="I178" s="34">
        <f t="shared" si="59"/>
        <v>1107.940286549976</v>
      </c>
      <c r="J178" s="34">
        <f t="shared" si="59"/>
        <v>1107.940286549976</v>
      </c>
      <c r="K178" s="34">
        <f t="shared" si="59"/>
        <v>1107.940286549976</v>
      </c>
      <c r="L178" s="34">
        <f t="shared" si="59"/>
        <v>1110.975739389839</v>
      </c>
      <c r="M178" s="34">
        <f t="shared" si="59"/>
        <v>1107.940286549976</v>
      </c>
      <c r="N178" s="34">
        <f t="shared" si="59"/>
        <v>1107.940286549976</v>
      </c>
      <c r="O178" s="34">
        <f t="shared" si="59"/>
        <v>1107.940286549976</v>
      </c>
      <c r="P178" s="34">
        <f t="shared" si="59"/>
        <v>1110.975739389839</v>
      </c>
      <c r="Q178" s="34">
        <f t="shared" si="59"/>
        <v>1107.940286549976</v>
      </c>
      <c r="R178" s="34">
        <f t="shared" si="59"/>
        <v>1107.940286549976</v>
      </c>
      <c r="S178" s="34">
        <f t="shared" si="59"/>
        <v>0</v>
      </c>
      <c r="T178" s="34">
        <f t="shared" si="59"/>
        <v>0</v>
      </c>
      <c r="U178" s="34">
        <f t="shared" si="59"/>
        <v>0</v>
      </c>
      <c r="V178" s="34">
        <f t="shared" si="51"/>
        <v>13279.560282940729</v>
      </c>
    </row>
    <row r="179" spans="2:25" ht="22.5">
      <c r="B179" s="25" t="str">
        <f>"Stratum 5: "&amp;IF(K$74="","not used",K$74)</f>
        <v>Stratum 5: Shared dry pits (10 persons per pit) decommissioned; CBS</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v>10000</v>
      </c>
      <c r="H180" s="63">
        <v>16000</v>
      </c>
      <c r="I180" s="63">
        <v>20000</v>
      </c>
      <c r="J180" s="63">
        <v>20000</v>
      </c>
      <c r="K180" s="63">
        <v>20000</v>
      </c>
      <c r="L180" s="63">
        <v>20000</v>
      </c>
      <c r="M180" s="63">
        <v>20000</v>
      </c>
      <c r="N180" s="63">
        <v>20000</v>
      </c>
      <c r="O180" s="63">
        <v>20000</v>
      </c>
      <c r="P180" s="63">
        <v>20000</v>
      </c>
      <c r="Q180" s="63">
        <v>20000</v>
      </c>
      <c r="R180" s="63">
        <v>20000</v>
      </c>
      <c r="S180" s="63">
        <v>20000</v>
      </c>
      <c r="T180" s="63">
        <v>20000</v>
      </c>
      <c r="U180" s="63">
        <v>20000</v>
      </c>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1</v>
      </c>
      <c r="H183" s="45">
        <f t="shared" si="61"/>
        <v>1</v>
      </c>
      <c r="I183" s="45">
        <f t="shared" si="61"/>
        <v>1</v>
      </c>
      <c r="J183" s="45">
        <f t="shared" si="61"/>
        <v>1</v>
      </c>
      <c r="K183" s="45">
        <f t="shared" si="61"/>
        <v>1</v>
      </c>
      <c r="L183" s="45">
        <f t="shared" si="61"/>
        <v>1</v>
      </c>
      <c r="M183" s="45">
        <f t="shared" si="61"/>
        <v>1</v>
      </c>
      <c r="N183" s="45">
        <f t="shared" si="61"/>
        <v>1</v>
      </c>
      <c r="O183" s="45">
        <f t="shared" si="61"/>
        <v>1</v>
      </c>
      <c r="P183" s="45">
        <f t="shared" si="61"/>
        <v>1</v>
      </c>
      <c r="Q183" s="45">
        <f t="shared" si="61"/>
        <v>1</v>
      </c>
      <c r="R183" s="45">
        <f t="shared" si="61"/>
        <v>1</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1146.684</v>
      </c>
      <c r="H184" s="34">
        <f t="shared" si="62"/>
        <v>1839.7209600000001</v>
      </c>
      <c r="I184" s="34">
        <f t="shared" si="62"/>
        <v>2293.3679999999999</v>
      </c>
      <c r="J184" s="34">
        <f t="shared" si="62"/>
        <v>2293.3679999999999</v>
      </c>
      <c r="K184" s="34">
        <f t="shared" si="62"/>
        <v>2293.3679999999999</v>
      </c>
      <c r="L184" s="34">
        <f t="shared" si="62"/>
        <v>2299.6512000000002</v>
      </c>
      <c r="M184" s="34">
        <f t="shared" si="62"/>
        <v>2293.3679999999999</v>
      </c>
      <c r="N184" s="34">
        <f t="shared" si="62"/>
        <v>2293.3679999999999</v>
      </c>
      <c r="O184" s="34">
        <f t="shared" si="62"/>
        <v>2293.3679999999999</v>
      </c>
      <c r="P184" s="34">
        <f t="shared" si="62"/>
        <v>2299.6512000000002</v>
      </c>
      <c r="Q184" s="34">
        <f t="shared" si="62"/>
        <v>2293.3679999999999</v>
      </c>
      <c r="R184" s="34">
        <f t="shared" si="62"/>
        <v>2293.3679999999999</v>
      </c>
      <c r="S184" s="34">
        <f t="shared" si="62"/>
        <v>0</v>
      </c>
      <c r="T184" s="34">
        <f t="shared" si="62"/>
        <v>0</v>
      </c>
      <c r="U184" s="34">
        <f t="shared" si="62"/>
        <v>0</v>
      </c>
      <c r="V184" s="34">
        <f t="shared" ref="V184:V192" si="63">SUMPRODUCT($G$117:$U$117,G184:U184)</f>
        <v>25932.651359999996</v>
      </c>
    </row>
    <row r="185" spans="2:25">
      <c r="B185" s="27" t="s">
        <v>628</v>
      </c>
      <c r="C185" s="33" t="s">
        <v>629</v>
      </c>
      <c r="D185" s="33" t="s">
        <v>359</v>
      </c>
      <c r="E185" s="33" t="s">
        <v>129</v>
      </c>
      <c r="F185" s="33"/>
      <c r="G185" s="34">
        <f t="shared" ref="G185:U185" si="64">IF($K$75="",0,G184*$K$83)</f>
        <v>809.16329801999984</v>
      </c>
      <c r="H185" s="34">
        <f t="shared" si="64"/>
        <v>1298.2082940287999</v>
      </c>
      <c r="I185" s="34">
        <f t="shared" si="64"/>
        <v>1618.3265960399997</v>
      </c>
      <c r="J185" s="34">
        <f t="shared" si="64"/>
        <v>1618.3265960399997</v>
      </c>
      <c r="K185" s="34">
        <f t="shared" si="64"/>
        <v>1618.3265960399997</v>
      </c>
      <c r="L185" s="34">
        <f t="shared" si="64"/>
        <v>1622.7603675360001</v>
      </c>
      <c r="M185" s="34">
        <f t="shared" si="64"/>
        <v>1618.3265960399997</v>
      </c>
      <c r="N185" s="34">
        <f t="shared" si="64"/>
        <v>1618.3265960399997</v>
      </c>
      <c r="O185" s="34">
        <f t="shared" si="64"/>
        <v>1618.3265960399997</v>
      </c>
      <c r="P185" s="34">
        <f t="shared" si="64"/>
        <v>1622.7603675360001</v>
      </c>
      <c r="Q185" s="34">
        <f t="shared" si="64"/>
        <v>1618.3265960399997</v>
      </c>
      <c r="R185" s="34">
        <f t="shared" si="64"/>
        <v>1618.3265960399997</v>
      </c>
      <c r="S185" s="34">
        <f t="shared" si="64"/>
        <v>0</v>
      </c>
      <c r="T185" s="34">
        <f t="shared" si="64"/>
        <v>0</v>
      </c>
      <c r="U185" s="34">
        <f t="shared" si="64"/>
        <v>0</v>
      </c>
      <c r="V185" s="34">
        <f t="shared" si="63"/>
        <v>18299.5050954408</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677.72119356303494</v>
      </c>
      <c r="H192" s="34">
        <f t="shared" si="71"/>
        <v>1099.7876458095138</v>
      </c>
      <c r="I192" s="34">
        <f t="shared" si="71"/>
        <v>1370.9784519141817</v>
      </c>
      <c r="J192" s="34">
        <f t="shared" si="71"/>
        <v>1370.9784519141817</v>
      </c>
      <c r="K192" s="34">
        <f t="shared" si="71"/>
        <v>1370.9784519141817</v>
      </c>
      <c r="L192" s="34">
        <f t="shared" si="71"/>
        <v>1374.7345572618922</v>
      </c>
      <c r="M192" s="34">
        <f t="shared" si="71"/>
        <v>1370.9784519141817</v>
      </c>
      <c r="N192" s="34">
        <f t="shared" si="71"/>
        <v>1370.9784519141817</v>
      </c>
      <c r="O192" s="34">
        <f t="shared" si="71"/>
        <v>1370.9784519141817</v>
      </c>
      <c r="P192" s="34">
        <f t="shared" si="71"/>
        <v>1374.7345572618922</v>
      </c>
      <c r="Q192" s="34">
        <f t="shared" si="71"/>
        <v>1370.9784519141817</v>
      </c>
      <c r="R192" s="34">
        <f t="shared" si="71"/>
        <v>1370.9784519141817</v>
      </c>
      <c r="S192" s="34">
        <f t="shared" si="71"/>
        <v>0</v>
      </c>
      <c r="T192" s="34">
        <f t="shared" si="71"/>
        <v>0</v>
      </c>
      <c r="U192" s="34">
        <f t="shared" si="71"/>
        <v>0</v>
      </c>
      <c r="V192" s="34">
        <f t="shared" si="63"/>
        <v>15494.805569209784</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16366.047389999998</v>
      </c>
      <c r="H195" s="34">
        <f t="shared" si="73"/>
        <v>23961.9473856</v>
      </c>
      <c r="I195" s="34">
        <f t="shared" si="73"/>
        <v>28916.764379999997</v>
      </c>
      <c r="J195" s="34">
        <f t="shared" si="73"/>
        <v>28916.764379999997</v>
      </c>
      <c r="K195" s="34">
        <f t="shared" si="73"/>
        <v>28916.764379999997</v>
      </c>
      <c r="L195" s="34">
        <f t="shared" si="73"/>
        <v>28995.988391999999</v>
      </c>
      <c r="M195" s="34">
        <f t="shared" si="73"/>
        <v>28916.764379999997</v>
      </c>
      <c r="N195" s="34">
        <f t="shared" si="73"/>
        <v>28916.764379999997</v>
      </c>
      <c r="O195" s="34">
        <f t="shared" si="73"/>
        <v>28916.764379999997</v>
      </c>
      <c r="P195" s="34">
        <f t="shared" si="73"/>
        <v>28995.988391999999</v>
      </c>
      <c r="Q195" s="34">
        <f t="shared" si="73"/>
        <v>28916.764379999997</v>
      </c>
      <c r="R195" s="34">
        <f t="shared" si="73"/>
        <v>28916.764379999997</v>
      </c>
      <c r="S195" s="34">
        <f t="shared" si="73"/>
        <v>0</v>
      </c>
      <c r="T195" s="34">
        <f t="shared" si="73"/>
        <v>0</v>
      </c>
      <c r="U195" s="34">
        <f t="shared" si="73"/>
        <v>0</v>
      </c>
      <c r="V195" s="34">
        <f>SUMPRODUCT($G$117:$U$117,G195:U195)</f>
        <v>329654.08659960004</v>
      </c>
    </row>
    <row r="196" spans="2:25">
      <c r="B196" s="27" t="s">
        <v>628</v>
      </c>
      <c r="C196" s="33" t="s">
        <v>646</v>
      </c>
      <c r="D196" s="33" t="s">
        <v>359</v>
      </c>
      <c r="E196" s="33" t="s">
        <v>129</v>
      </c>
      <c r="F196" s="33"/>
      <c r="G196" s="34">
        <f t="shared" ref="G196:U196" si="74">G129+G143+G157+G171+G185</f>
        <v>11342.466455472086</v>
      </c>
      <c r="H196" s="34">
        <f t="shared" si="74"/>
        <v>16641.583431715888</v>
      </c>
      <c r="I196" s="34">
        <f t="shared" si="74"/>
        <v>20098.546737227618</v>
      </c>
      <c r="J196" s="34">
        <f t="shared" si="74"/>
        <v>20098.546737227618</v>
      </c>
      <c r="K196" s="34">
        <f t="shared" si="74"/>
        <v>20098.546737227618</v>
      </c>
      <c r="L196" s="34">
        <f t="shared" si="74"/>
        <v>20153.611248836463</v>
      </c>
      <c r="M196" s="34">
        <f t="shared" si="74"/>
        <v>20098.546737227618</v>
      </c>
      <c r="N196" s="34">
        <f t="shared" si="74"/>
        <v>20098.546737227618</v>
      </c>
      <c r="O196" s="34">
        <f t="shared" si="74"/>
        <v>20098.546737227618</v>
      </c>
      <c r="P196" s="34">
        <f t="shared" si="74"/>
        <v>20153.611248836463</v>
      </c>
      <c r="Q196" s="34">
        <f t="shared" si="74"/>
        <v>20098.546737227618</v>
      </c>
      <c r="R196" s="34">
        <f t="shared" si="74"/>
        <v>20098.546737227618</v>
      </c>
      <c r="S196" s="34">
        <f t="shared" si="74"/>
        <v>0</v>
      </c>
      <c r="T196" s="34">
        <f t="shared" si="74"/>
        <v>0</v>
      </c>
      <c r="U196" s="34">
        <f t="shared" si="74"/>
        <v>0</v>
      </c>
      <c r="V196" s="34">
        <f>SUMPRODUCT($G$117:$U$117,G196:U196)</f>
        <v>229079.64628268185</v>
      </c>
    </row>
    <row r="197" spans="2:25">
      <c r="B197" s="27" t="s">
        <v>647</v>
      </c>
      <c r="C197" s="33" t="s">
        <v>648</v>
      </c>
      <c r="D197" s="33" t="s">
        <v>359</v>
      </c>
      <c r="E197" s="33" t="s">
        <v>133</v>
      </c>
      <c r="F197" s="33"/>
      <c r="G197" s="34">
        <f t="shared" ref="G197:U197" si="75">G196*(1-G$121)</f>
        <v>11111.080139780455</v>
      </c>
      <c r="H197" s="34">
        <f t="shared" si="75"/>
        <v>16302.095129708885</v>
      </c>
      <c r="I197" s="34">
        <f t="shared" si="75"/>
        <v>19688.536383788174</v>
      </c>
      <c r="J197" s="34">
        <f t="shared" si="75"/>
        <v>19688.536383788174</v>
      </c>
      <c r="K197" s="34">
        <f t="shared" si="75"/>
        <v>19688.536383788174</v>
      </c>
      <c r="L197" s="34">
        <f t="shared" si="75"/>
        <v>19742.477579360198</v>
      </c>
      <c r="M197" s="34">
        <f t="shared" si="75"/>
        <v>19688.536383788174</v>
      </c>
      <c r="N197" s="34">
        <f t="shared" si="75"/>
        <v>19688.536383788174</v>
      </c>
      <c r="O197" s="34">
        <f t="shared" si="75"/>
        <v>19688.536383788174</v>
      </c>
      <c r="P197" s="34">
        <f t="shared" si="75"/>
        <v>19742.477579360198</v>
      </c>
      <c r="Q197" s="34">
        <f t="shared" si="75"/>
        <v>19688.536383788174</v>
      </c>
      <c r="R197" s="34">
        <f t="shared" si="75"/>
        <v>19688.536383788174</v>
      </c>
      <c r="S197" s="34">
        <f t="shared" si="75"/>
        <v>0</v>
      </c>
      <c r="T197" s="34">
        <f t="shared" si="75"/>
        <v>0</v>
      </c>
      <c r="U197" s="34">
        <f t="shared" si="75"/>
        <v>0</v>
      </c>
      <c r="V197" s="34">
        <f>SUMPRODUCT($G$117:$U$117,G197:U197)</f>
        <v>224406.42149851506</v>
      </c>
    </row>
    <row r="198" spans="2:25">
      <c r="B198" s="27" t="s">
        <v>649</v>
      </c>
      <c r="C198" s="33" t="s">
        <v>650</v>
      </c>
      <c r="D198" s="33" t="s">
        <v>359</v>
      </c>
      <c r="E198" s="33" t="s">
        <v>137</v>
      </c>
      <c r="F198" s="33"/>
      <c r="G198" s="34">
        <f t="shared" ref="G198:U198" si="76">G196</f>
        <v>11342.466455472086</v>
      </c>
      <c r="H198" s="34">
        <f t="shared" si="76"/>
        <v>16641.583431715888</v>
      </c>
      <c r="I198" s="34">
        <f t="shared" si="76"/>
        <v>20098.546737227618</v>
      </c>
      <c r="J198" s="34">
        <f t="shared" si="76"/>
        <v>20098.546737227618</v>
      </c>
      <c r="K198" s="34">
        <f t="shared" si="76"/>
        <v>20098.546737227618</v>
      </c>
      <c r="L198" s="34">
        <f t="shared" si="76"/>
        <v>20153.611248836463</v>
      </c>
      <c r="M198" s="34">
        <f t="shared" si="76"/>
        <v>20098.546737227618</v>
      </c>
      <c r="N198" s="34">
        <f t="shared" si="76"/>
        <v>20098.546737227618</v>
      </c>
      <c r="O198" s="34">
        <f t="shared" si="76"/>
        <v>20098.546737227618</v>
      </c>
      <c r="P198" s="34">
        <f t="shared" si="76"/>
        <v>20153.611248836463</v>
      </c>
      <c r="Q198" s="34">
        <f t="shared" si="76"/>
        <v>20098.546737227618</v>
      </c>
      <c r="R198" s="34">
        <f t="shared" si="76"/>
        <v>20098.546737227618</v>
      </c>
      <c r="S198" s="34">
        <f t="shared" si="76"/>
        <v>0</v>
      </c>
      <c r="T198" s="34">
        <f t="shared" si="76"/>
        <v>0</v>
      </c>
      <c r="U198" s="34">
        <f t="shared" si="76"/>
        <v>0</v>
      </c>
      <c r="V198" s="34">
        <f>SUMPRODUCT($G$117:$U$117,G198:U198)</f>
        <v>229079.64628268185</v>
      </c>
    </row>
    <row r="199" spans="2:25">
      <c r="B199" s="27" t="s">
        <v>651</v>
      </c>
      <c r="C199" s="33" t="s">
        <v>652</v>
      </c>
      <c r="D199" s="33" t="s">
        <v>359</v>
      </c>
      <c r="E199" s="33" t="s">
        <v>140</v>
      </c>
      <c r="F199" s="33"/>
      <c r="G199" s="34">
        <f t="shared" ref="G199:U199" si="77">MIN(G197,G198)</f>
        <v>11111.080139780455</v>
      </c>
      <c r="H199" s="34">
        <f t="shared" si="77"/>
        <v>16302.095129708885</v>
      </c>
      <c r="I199" s="34">
        <f t="shared" si="77"/>
        <v>19688.536383788174</v>
      </c>
      <c r="J199" s="34">
        <f t="shared" si="77"/>
        <v>19688.536383788174</v>
      </c>
      <c r="K199" s="34">
        <f t="shared" si="77"/>
        <v>19688.536383788174</v>
      </c>
      <c r="L199" s="34">
        <f t="shared" si="77"/>
        <v>19742.477579360198</v>
      </c>
      <c r="M199" s="34">
        <f t="shared" si="77"/>
        <v>19688.536383788174</v>
      </c>
      <c r="N199" s="34">
        <f t="shared" si="77"/>
        <v>19688.536383788174</v>
      </c>
      <c r="O199" s="34">
        <f t="shared" si="77"/>
        <v>19688.536383788174</v>
      </c>
      <c r="P199" s="34">
        <f t="shared" si="77"/>
        <v>19742.477579360198</v>
      </c>
      <c r="Q199" s="34">
        <f t="shared" si="77"/>
        <v>19688.536383788174</v>
      </c>
      <c r="R199" s="34">
        <f t="shared" si="77"/>
        <v>19688.536383788174</v>
      </c>
      <c r="S199" s="34">
        <f t="shared" si="77"/>
        <v>0</v>
      </c>
      <c r="T199" s="34">
        <f t="shared" si="77"/>
        <v>0</v>
      </c>
      <c r="U199" s="34">
        <f t="shared" si="77"/>
        <v>0</v>
      </c>
      <c r="V199" s="34">
        <f>SUMPRODUCT($G$117:$U$117,G199:U199)</f>
        <v>224406.42149851506</v>
      </c>
    </row>
    <row r="200" spans="2:25">
      <c r="B200" s="27" t="s">
        <v>221</v>
      </c>
      <c r="C200" s="33" t="s">
        <v>653</v>
      </c>
      <c r="D200" s="33" t="s">
        <v>398</v>
      </c>
      <c r="E200" s="33" t="s">
        <v>220</v>
      </c>
      <c r="F200" s="33"/>
      <c r="G200" s="40">
        <v>0.95</v>
      </c>
      <c r="H200" s="40">
        <v>0.94</v>
      </c>
      <c r="I200" s="40">
        <v>0.94</v>
      </c>
      <c r="J200" s="40">
        <v>0.94</v>
      </c>
      <c r="K200" s="40">
        <v>0.94</v>
      </c>
      <c r="L200" s="40">
        <v>0.94</v>
      </c>
      <c r="M200" s="40">
        <v>0.94</v>
      </c>
      <c r="N200" s="40">
        <v>0.94</v>
      </c>
      <c r="O200" s="40">
        <v>0.94</v>
      </c>
      <c r="P200" s="40">
        <v>0.94</v>
      </c>
      <c r="Q200" s="40">
        <v>0.94</v>
      </c>
      <c r="R200" s="40">
        <v>0.94</v>
      </c>
      <c r="S200" s="40">
        <v>0.94</v>
      </c>
      <c r="T200" s="40">
        <v>0.94</v>
      </c>
      <c r="U200" s="40">
        <v>0.94</v>
      </c>
      <c r="V200" s="33"/>
      <c r="Y200" s="50" t="s">
        <v>654</v>
      </c>
    </row>
    <row r="201" spans="2:25" ht="21">
      <c r="B201" s="27" t="s">
        <v>225</v>
      </c>
      <c r="C201" s="33" t="s">
        <v>655</v>
      </c>
      <c r="D201" s="33" t="s">
        <v>398</v>
      </c>
      <c r="E201" s="33" t="s">
        <v>224</v>
      </c>
      <c r="F201" s="33"/>
      <c r="G201" s="40">
        <v>0.9</v>
      </c>
      <c r="H201" s="40">
        <v>0.92</v>
      </c>
      <c r="I201" s="40">
        <v>0.92</v>
      </c>
      <c r="J201" s="40">
        <v>0.92</v>
      </c>
      <c r="K201" s="40">
        <v>0.92</v>
      </c>
      <c r="L201" s="40">
        <v>0.92</v>
      </c>
      <c r="M201" s="40">
        <v>0.92</v>
      </c>
      <c r="N201" s="40">
        <v>0.92</v>
      </c>
      <c r="O201" s="40">
        <v>0.92</v>
      </c>
      <c r="P201" s="40">
        <v>0.92</v>
      </c>
      <c r="Q201" s="40">
        <v>0.92</v>
      </c>
      <c r="R201" s="40">
        <v>0.92</v>
      </c>
      <c r="S201" s="40">
        <v>0.92</v>
      </c>
      <c r="T201" s="40">
        <v>0.92</v>
      </c>
      <c r="U201" s="40">
        <v>0.92</v>
      </c>
      <c r="V201" s="33"/>
      <c r="Y201" s="50" t="s">
        <v>656</v>
      </c>
    </row>
    <row r="202" spans="2:25">
      <c r="B202" s="30" t="s">
        <v>657</v>
      </c>
      <c r="C202" s="33" t="s">
        <v>658</v>
      </c>
      <c r="D202" s="33" t="s">
        <v>359</v>
      </c>
      <c r="E202" s="33" t="s">
        <v>143</v>
      </c>
      <c r="F202" s="33"/>
      <c r="G202" s="31">
        <f t="shared" ref="G202:U202" si="78">G199*N(G200)*N(G201)</f>
        <v>9499.9735195122885</v>
      </c>
      <c r="H202" s="31">
        <f t="shared" si="78"/>
        <v>14098.051868172244</v>
      </c>
      <c r="I202" s="31">
        <f t="shared" si="78"/>
        <v>17026.646264700015</v>
      </c>
      <c r="J202" s="31">
        <f t="shared" si="78"/>
        <v>17026.646264700015</v>
      </c>
      <c r="K202" s="31">
        <f t="shared" si="78"/>
        <v>17026.646264700015</v>
      </c>
      <c r="L202" s="31">
        <f t="shared" si="78"/>
        <v>17073.294610630699</v>
      </c>
      <c r="M202" s="31">
        <f t="shared" si="78"/>
        <v>17026.646264700015</v>
      </c>
      <c r="N202" s="31">
        <f t="shared" si="78"/>
        <v>17026.646264700015</v>
      </c>
      <c r="O202" s="31">
        <f t="shared" si="78"/>
        <v>17026.646264700015</v>
      </c>
      <c r="P202" s="31">
        <f t="shared" si="78"/>
        <v>17073.294610630699</v>
      </c>
      <c r="Q202" s="31">
        <f t="shared" si="78"/>
        <v>17026.646264700015</v>
      </c>
      <c r="R202" s="31">
        <f t="shared" si="78"/>
        <v>17026.646264700015</v>
      </c>
      <c r="S202" s="31">
        <f t="shared" si="78"/>
        <v>0</v>
      </c>
      <c r="T202" s="31">
        <f t="shared" si="78"/>
        <v>0</v>
      </c>
      <c r="U202" s="31">
        <f t="shared" si="78"/>
        <v>0</v>
      </c>
      <c r="V202" s="31">
        <f>SUMPRODUCT($G$117:$U$117,G202:U202)</f>
        <v>193957.78472654603</v>
      </c>
    </row>
    <row r="203" spans="2:25" ht="22.5">
      <c r="B203" s="27" t="s">
        <v>659</v>
      </c>
      <c r="C203" s="33" t="s">
        <v>660</v>
      </c>
      <c r="D203" s="33" t="s">
        <v>359</v>
      </c>
      <c r="E203" s="33" t="s">
        <v>146</v>
      </c>
      <c r="F203" s="33"/>
      <c r="G203" s="34">
        <f t="shared" ref="G203:U203" si="79">G198-G199</f>
        <v>231.38631569163044</v>
      </c>
      <c r="H203" s="34">
        <f t="shared" si="79"/>
        <v>339.48830200700286</v>
      </c>
      <c r="I203" s="34">
        <f t="shared" si="79"/>
        <v>410.01035343944386</v>
      </c>
      <c r="J203" s="34">
        <f t="shared" si="79"/>
        <v>410.01035343944386</v>
      </c>
      <c r="K203" s="34">
        <f t="shared" si="79"/>
        <v>410.01035343944386</v>
      </c>
      <c r="L203" s="34">
        <f t="shared" si="79"/>
        <v>411.13366947626491</v>
      </c>
      <c r="M203" s="34">
        <f t="shared" si="79"/>
        <v>410.01035343944386</v>
      </c>
      <c r="N203" s="34">
        <f t="shared" si="79"/>
        <v>410.01035343944386</v>
      </c>
      <c r="O203" s="34">
        <f t="shared" si="79"/>
        <v>410.01035343944386</v>
      </c>
      <c r="P203" s="34">
        <f t="shared" si="79"/>
        <v>411.13366947626491</v>
      </c>
      <c r="Q203" s="34">
        <f t="shared" si="79"/>
        <v>410.01035343944386</v>
      </c>
      <c r="R203" s="34">
        <f t="shared" si="79"/>
        <v>410.01035343944386</v>
      </c>
      <c r="S203" s="34">
        <f t="shared" si="79"/>
        <v>0</v>
      </c>
      <c r="T203" s="34">
        <f t="shared" si="79"/>
        <v>0</v>
      </c>
      <c r="U203" s="34">
        <f t="shared" si="79"/>
        <v>0</v>
      </c>
      <c r="V203" s="34">
        <f>SUMPRODUCT($G$117:$U$117,G203:U203)</f>
        <v>4673.224784166714</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560</v>
      </c>
      <c r="H206" s="68">
        <v>610</v>
      </c>
      <c r="I206" s="68">
        <v>640</v>
      </c>
      <c r="J206" s="68">
        <v>640</v>
      </c>
      <c r="K206" s="68">
        <v>640</v>
      </c>
      <c r="L206" s="68">
        <v>640</v>
      </c>
      <c r="M206" s="68">
        <v>640</v>
      </c>
      <c r="N206" s="68">
        <v>640</v>
      </c>
      <c r="O206" s="68">
        <v>640</v>
      </c>
      <c r="P206" s="68">
        <v>640</v>
      </c>
      <c r="Q206" s="68">
        <v>640</v>
      </c>
      <c r="R206" s="68">
        <v>640</v>
      </c>
      <c r="S206" s="68">
        <v>640</v>
      </c>
      <c r="T206" s="68">
        <v>640</v>
      </c>
      <c r="U206" s="68">
        <v>640</v>
      </c>
      <c r="V206" s="43">
        <f t="shared" ref="V206:V217" si="81">SUMPRODUCT($G$117:$U$117,G206:U206)</f>
        <v>7570</v>
      </c>
      <c r="Y206" s="50" t="s">
        <v>664</v>
      </c>
    </row>
    <row r="207" spans="2:25" ht="21">
      <c r="B207" s="27" t="s">
        <v>665</v>
      </c>
      <c r="C207" s="33" t="s">
        <v>666</v>
      </c>
      <c r="D207" s="33" t="s">
        <v>359</v>
      </c>
      <c r="E207" s="33" t="s">
        <v>667</v>
      </c>
      <c r="F207" s="33"/>
      <c r="G207" s="34">
        <f t="shared" ref="G207:U207" si="82">G$117*N(G206)*$F$47</f>
        <v>403.2</v>
      </c>
      <c r="H207" s="34">
        <f t="shared" si="82"/>
        <v>439.2</v>
      </c>
      <c r="I207" s="34">
        <f t="shared" si="82"/>
        <v>460.79999999999995</v>
      </c>
      <c r="J207" s="34">
        <f t="shared" si="82"/>
        <v>460.79999999999995</v>
      </c>
      <c r="K207" s="34">
        <f t="shared" si="82"/>
        <v>460.79999999999995</v>
      </c>
      <c r="L207" s="34">
        <f t="shared" si="82"/>
        <v>460.79999999999995</v>
      </c>
      <c r="M207" s="34">
        <f t="shared" si="82"/>
        <v>460.79999999999995</v>
      </c>
      <c r="N207" s="34">
        <f t="shared" si="82"/>
        <v>460.79999999999995</v>
      </c>
      <c r="O207" s="34">
        <f t="shared" si="82"/>
        <v>460.79999999999995</v>
      </c>
      <c r="P207" s="34">
        <f t="shared" si="82"/>
        <v>460.79999999999995</v>
      </c>
      <c r="Q207" s="34">
        <f t="shared" si="82"/>
        <v>460.79999999999995</v>
      </c>
      <c r="R207" s="34">
        <f t="shared" si="82"/>
        <v>460.79999999999995</v>
      </c>
      <c r="S207" s="34">
        <f t="shared" si="82"/>
        <v>0</v>
      </c>
      <c r="T207" s="34">
        <f t="shared" si="82"/>
        <v>0</v>
      </c>
      <c r="U207" s="34">
        <f t="shared" si="82"/>
        <v>0</v>
      </c>
      <c r="V207" s="34">
        <f t="shared" si="81"/>
        <v>5450.4000000000005</v>
      </c>
    </row>
    <row r="208" spans="2:25">
      <c r="B208" s="27" t="s">
        <v>668</v>
      </c>
      <c r="C208" s="33"/>
      <c r="D208" s="33" t="s">
        <v>669</v>
      </c>
      <c r="E208" s="33" t="s">
        <v>155</v>
      </c>
      <c r="F208" s="33"/>
      <c r="G208" s="63">
        <v>0</v>
      </c>
      <c r="H208" s="63">
        <v>0</v>
      </c>
      <c r="I208" s="63">
        <v>0</v>
      </c>
      <c r="J208" s="63">
        <v>0</v>
      </c>
      <c r="K208" s="63">
        <v>0</v>
      </c>
      <c r="L208" s="63">
        <v>0</v>
      </c>
      <c r="M208" s="63">
        <v>0</v>
      </c>
      <c r="N208" s="63">
        <v>0</v>
      </c>
      <c r="O208" s="63">
        <v>0</v>
      </c>
      <c r="P208" s="63">
        <v>0</v>
      </c>
      <c r="Q208" s="63">
        <v>0</v>
      </c>
      <c r="R208" s="63">
        <v>0</v>
      </c>
      <c r="S208" s="63">
        <v>0</v>
      </c>
      <c r="T208" s="63">
        <v>0</v>
      </c>
      <c r="U208" s="63">
        <v>0</v>
      </c>
      <c r="V208" s="67">
        <f t="shared" si="81"/>
        <v>0</v>
      </c>
    </row>
    <row r="209" spans="2:25">
      <c r="B209" s="27" t="s">
        <v>670</v>
      </c>
      <c r="C209" s="33" t="s">
        <v>671</v>
      </c>
      <c r="D209" s="33" t="s">
        <v>359</v>
      </c>
      <c r="E209" s="33" t="s">
        <v>672</v>
      </c>
      <c r="F209" s="33"/>
      <c r="G209" s="34">
        <f t="shared" ref="G209:U209" si="83">G$117*N(G208)*$F$49/1000</f>
        <v>0</v>
      </c>
      <c r="H209" s="34">
        <f t="shared" si="83"/>
        <v>0</v>
      </c>
      <c r="I209" s="34">
        <f t="shared" si="83"/>
        <v>0</v>
      </c>
      <c r="J209" s="34">
        <f t="shared" si="83"/>
        <v>0</v>
      </c>
      <c r="K209" s="34">
        <f t="shared" si="83"/>
        <v>0</v>
      </c>
      <c r="L209" s="34">
        <f t="shared" si="83"/>
        <v>0</v>
      </c>
      <c r="M209" s="34">
        <f t="shared" si="83"/>
        <v>0</v>
      </c>
      <c r="N209" s="34">
        <f t="shared" si="83"/>
        <v>0</v>
      </c>
      <c r="O209" s="34">
        <f t="shared" si="83"/>
        <v>0</v>
      </c>
      <c r="P209" s="34">
        <f t="shared" si="83"/>
        <v>0</v>
      </c>
      <c r="Q209" s="34">
        <f t="shared" si="83"/>
        <v>0</v>
      </c>
      <c r="R209" s="34">
        <f t="shared" si="83"/>
        <v>0</v>
      </c>
      <c r="S209" s="34">
        <f t="shared" si="83"/>
        <v>0</v>
      </c>
      <c r="T209" s="34">
        <f t="shared" si="83"/>
        <v>0</v>
      </c>
      <c r="U209" s="34">
        <f t="shared" si="83"/>
        <v>0</v>
      </c>
      <c r="V209" s="34">
        <f t="shared" si="81"/>
        <v>0</v>
      </c>
    </row>
    <row r="210" spans="2:25">
      <c r="B210" s="27" t="s">
        <v>673</v>
      </c>
      <c r="C210" s="33" t="s">
        <v>674</v>
      </c>
      <c r="D210" s="33" t="s">
        <v>359</v>
      </c>
      <c r="E210" s="33" t="s">
        <v>153</v>
      </c>
      <c r="F210" s="33"/>
      <c r="G210" s="34">
        <f t="shared" ref="G210:U210" si="84">G207+G209</f>
        <v>403.2</v>
      </c>
      <c r="H210" s="34">
        <f t="shared" si="84"/>
        <v>439.2</v>
      </c>
      <c r="I210" s="34">
        <f t="shared" si="84"/>
        <v>460.79999999999995</v>
      </c>
      <c r="J210" s="34">
        <f t="shared" si="84"/>
        <v>460.79999999999995</v>
      </c>
      <c r="K210" s="34">
        <f t="shared" si="84"/>
        <v>460.79999999999995</v>
      </c>
      <c r="L210" s="34">
        <f t="shared" si="84"/>
        <v>460.79999999999995</v>
      </c>
      <c r="M210" s="34">
        <f t="shared" si="84"/>
        <v>460.79999999999995</v>
      </c>
      <c r="N210" s="34">
        <f t="shared" si="84"/>
        <v>460.79999999999995</v>
      </c>
      <c r="O210" s="34">
        <f t="shared" si="84"/>
        <v>460.79999999999995</v>
      </c>
      <c r="P210" s="34">
        <f t="shared" si="84"/>
        <v>460.79999999999995</v>
      </c>
      <c r="Q210" s="34">
        <f t="shared" si="84"/>
        <v>460.79999999999995</v>
      </c>
      <c r="R210" s="34">
        <f t="shared" si="84"/>
        <v>460.79999999999995</v>
      </c>
      <c r="S210" s="34">
        <f t="shared" si="84"/>
        <v>0</v>
      </c>
      <c r="T210" s="34">
        <f t="shared" si="84"/>
        <v>0</v>
      </c>
      <c r="U210" s="34">
        <f t="shared" si="84"/>
        <v>0</v>
      </c>
      <c r="V210" s="34">
        <f t="shared" si="81"/>
        <v>5450.4000000000005</v>
      </c>
    </row>
    <row r="211" spans="2:25" ht="21">
      <c r="B211" s="27" t="s">
        <v>675</v>
      </c>
      <c r="C211" s="33"/>
      <c r="D211" s="33" t="s">
        <v>669</v>
      </c>
      <c r="E211" s="33" t="s">
        <v>456</v>
      </c>
      <c r="F211" s="33"/>
      <c r="G211" s="63">
        <v>23516</v>
      </c>
      <c r="H211" s="63">
        <v>37625</v>
      </c>
      <c r="I211" s="63">
        <v>47032</v>
      </c>
      <c r="J211" s="63">
        <v>47032</v>
      </c>
      <c r="K211" s="63">
        <v>47032</v>
      </c>
      <c r="L211" s="63">
        <v>47032</v>
      </c>
      <c r="M211" s="63">
        <v>47032</v>
      </c>
      <c r="N211" s="63">
        <v>47032</v>
      </c>
      <c r="O211" s="63">
        <v>47032</v>
      </c>
      <c r="P211" s="63">
        <v>47032</v>
      </c>
      <c r="Q211" s="63">
        <v>47032</v>
      </c>
      <c r="R211" s="63">
        <v>47032</v>
      </c>
      <c r="S211" s="63">
        <v>47032</v>
      </c>
      <c r="T211" s="63">
        <v>47032</v>
      </c>
      <c r="U211" s="63">
        <v>47032</v>
      </c>
      <c r="V211" s="67">
        <f t="shared" si="81"/>
        <v>531461</v>
      </c>
      <c r="Y211" s="50" t="s">
        <v>788</v>
      </c>
    </row>
    <row r="212" spans="2:25" ht="21">
      <c r="B212" s="27" t="s">
        <v>676</v>
      </c>
      <c r="C212" s="33" t="s">
        <v>677</v>
      </c>
      <c r="D212" s="33" t="s">
        <v>359</v>
      </c>
      <c r="E212" s="33" t="s">
        <v>678</v>
      </c>
      <c r="F212" s="33"/>
      <c r="G212" s="34">
        <f t="shared" ref="G212:U212" si="85">IF($F$50="Manual, or electric on 100% RE",0,G$117*N(G211)*$F$52/1000)</f>
        <v>64.359054416799992</v>
      </c>
      <c r="H212" s="34">
        <f t="shared" si="85"/>
        <v>102.97284497499999</v>
      </c>
      <c r="I212" s="34">
        <f t="shared" si="85"/>
        <v>128.71810883359998</v>
      </c>
      <c r="J212" s="34">
        <f t="shared" si="85"/>
        <v>128.71810883359998</v>
      </c>
      <c r="K212" s="34">
        <f t="shared" si="85"/>
        <v>128.71810883359998</v>
      </c>
      <c r="L212" s="34">
        <f t="shared" si="85"/>
        <v>128.71810883359998</v>
      </c>
      <c r="M212" s="34">
        <f t="shared" si="85"/>
        <v>128.71810883359998</v>
      </c>
      <c r="N212" s="34">
        <f t="shared" si="85"/>
        <v>128.71810883359998</v>
      </c>
      <c r="O212" s="34">
        <f t="shared" si="85"/>
        <v>128.71810883359998</v>
      </c>
      <c r="P212" s="34">
        <f t="shared" si="85"/>
        <v>128.71810883359998</v>
      </c>
      <c r="Q212" s="34">
        <f t="shared" si="85"/>
        <v>128.71810883359998</v>
      </c>
      <c r="R212" s="34">
        <f t="shared" si="85"/>
        <v>128.71810883359998</v>
      </c>
      <c r="S212" s="34">
        <f t="shared" si="85"/>
        <v>0</v>
      </c>
      <c r="T212" s="34">
        <f t="shared" si="85"/>
        <v>0</v>
      </c>
      <c r="U212" s="34">
        <f t="shared" si="85"/>
        <v>0</v>
      </c>
      <c r="V212" s="34">
        <f t="shared" si="81"/>
        <v>1454.5129877277998</v>
      </c>
    </row>
    <row r="213" spans="2:25" ht="42">
      <c r="B213" s="27" t="s">
        <v>679</v>
      </c>
      <c r="C213" s="33" t="s">
        <v>680</v>
      </c>
      <c r="D213" s="33" t="s">
        <v>359</v>
      </c>
      <c r="E213" s="33" t="s">
        <v>681</v>
      </c>
      <c r="F213" s="33"/>
      <c r="G213" s="69">
        <v>352.9</v>
      </c>
      <c r="H213" s="69">
        <v>566.20000000000005</v>
      </c>
      <c r="I213" s="69">
        <v>705.8</v>
      </c>
      <c r="J213" s="69">
        <v>705.8</v>
      </c>
      <c r="K213" s="69">
        <v>705.8</v>
      </c>
      <c r="L213" s="69">
        <v>707.7</v>
      </c>
      <c r="M213" s="69">
        <v>705.8</v>
      </c>
      <c r="N213" s="69">
        <v>705.8</v>
      </c>
      <c r="O213" s="69">
        <v>705.8</v>
      </c>
      <c r="P213" s="69">
        <v>707.7</v>
      </c>
      <c r="Q213" s="69">
        <v>705.8</v>
      </c>
      <c r="R213" s="69">
        <v>705.8</v>
      </c>
      <c r="S213" s="69">
        <v>705.8</v>
      </c>
      <c r="T213" s="69">
        <v>707.7</v>
      </c>
      <c r="U213" s="69">
        <v>705.8</v>
      </c>
      <c r="V213" s="34">
        <f t="shared" si="81"/>
        <v>7980.9000000000005</v>
      </c>
      <c r="Y213" s="50" t="s">
        <v>789</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0</v>
      </c>
      <c r="H215" s="34">
        <f t="shared" si="86"/>
        <v>0</v>
      </c>
      <c r="I215" s="34">
        <f t="shared" si="86"/>
        <v>0</v>
      </c>
      <c r="J215" s="34">
        <f t="shared" si="86"/>
        <v>0</v>
      </c>
      <c r="K215" s="34">
        <f t="shared" si="86"/>
        <v>0</v>
      </c>
      <c r="L215" s="34">
        <f t="shared" si="86"/>
        <v>0</v>
      </c>
      <c r="M215" s="34">
        <f t="shared" si="86"/>
        <v>0</v>
      </c>
      <c r="N215" s="34">
        <f t="shared" si="86"/>
        <v>0</v>
      </c>
      <c r="O215" s="34">
        <f t="shared" si="86"/>
        <v>0</v>
      </c>
      <c r="P215" s="34">
        <f t="shared" si="86"/>
        <v>0</v>
      </c>
      <c r="Q215" s="34">
        <f t="shared" si="86"/>
        <v>0</v>
      </c>
      <c r="R215" s="34">
        <f t="shared" si="86"/>
        <v>0</v>
      </c>
      <c r="S215" s="34">
        <f t="shared" si="86"/>
        <v>0</v>
      </c>
      <c r="T215" s="34">
        <f t="shared" si="86"/>
        <v>0</v>
      </c>
      <c r="U215" s="34">
        <f t="shared" si="86"/>
        <v>0</v>
      </c>
      <c r="V215" s="34">
        <f t="shared" si="81"/>
        <v>0</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1083.1376585142857</v>
      </c>
      <c r="H216" s="34">
        <f t="shared" si="87"/>
        <v>1086.1051589485714</v>
      </c>
      <c r="I216" s="34">
        <f t="shared" si="87"/>
        <v>1083.1376585142857</v>
      </c>
      <c r="J216" s="34">
        <f t="shared" si="87"/>
        <v>1083.1376585142857</v>
      </c>
      <c r="K216" s="34">
        <f t="shared" si="87"/>
        <v>1083.1376585142857</v>
      </c>
      <c r="L216" s="34">
        <f t="shared" si="87"/>
        <v>1086.1051589485714</v>
      </c>
      <c r="M216" s="34">
        <f t="shared" si="87"/>
        <v>1083.1376585142857</v>
      </c>
      <c r="N216" s="34">
        <f t="shared" si="87"/>
        <v>1083.1376585142857</v>
      </c>
      <c r="O216" s="34">
        <f t="shared" si="87"/>
        <v>1083.1376585142857</v>
      </c>
      <c r="P216" s="34">
        <f t="shared" si="87"/>
        <v>1086.1051589485714</v>
      </c>
      <c r="Q216" s="34">
        <f t="shared" si="87"/>
        <v>1083.1376585142857</v>
      </c>
      <c r="R216" s="34">
        <f t="shared" si="87"/>
        <v>1083.1376585142857</v>
      </c>
      <c r="S216" s="34">
        <f t="shared" si="87"/>
        <v>0</v>
      </c>
      <c r="T216" s="34">
        <f t="shared" si="87"/>
        <v>0</v>
      </c>
      <c r="U216" s="34">
        <f t="shared" si="87"/>
        <v>0</v>
      </c>
      <c r="V216" s="34">
        <f t="shared" si="81"/>
        <v>13006.554403474289</v>
      </c>
    </row>
    <row r="217" spans="2:25" ht="21">
      <c r="B217" s="27" t="s">
        <v>692</v>
      </c>
      <c r="C217" s="33"/>
      <c r="D217" s="33" t="s">
        <v>693</v>
      </c>
      <c r="E217" s="33" t="s">
        <v>257</v>
      </c>
      <c r="F217" s="33"/>
      <c r="G217" s="63">
        <v>1095000</v>
      </c>
      <c r="H217" s="63">
        <v>1095000</v>
      </c>
      <c r="I217" s="63">
        <v>1095000</v>
      </c>
      <c r="J217" s="63">
        <v>1095000</v>
      </c>
      <c r="K217" s="63">
        <v>1095000</v>
      </c>
      <c r="L217" s="63">
        <v>1095000</v>
      </c>
      <c r="M217" s="63">
        <v>1095000</v>
      </c>
      <c r="N217" s="63">
        <v>1095000</v>
      </c>
      <c r="O217" s="63">
        <v>1095000</v>
      </c>
      <c r="P217" s="63">
        <v>1095000</v>
      </c>
      <c r="Q217" s="63">
        <v>1095000</v>
      </c>
      <c r="R217" s="63">
        <v>1095000</v>
      </c>
      <c r="S217" s="63">
        <v>1095000</v>
      </c>
      <c r="T217" s="63">
        <v>1095000</v>
      </c>
      <c r="U217" s="63">
        <v>1095000</v>
      </c>
      <c r="V217" s="67">
        <f t="shared" si="81"/>
        <v>13140000</v>
      </c>
      <c r="Y217" s="50" t="s">
        <v>790</v>
      </c>
    </row>
    <row r="218" spans="2:25" ht="22.5">
      <c r="B218" s="27" t="s">
        <v>695</v>
      </c>
      <c r="C218" s="33"/>
      <c r="D218" s="33" t="s">
        <v>696</v>
      </c>
      <c r="E218" s="33" t="s">
        <v>257</v>
      </c>
      <c r="F218" s="33"/>
      <c r="G218" s="40">
        <v>0.03</v>
      </c>
      <c r="H218" s="40">
        <v>0.03</v>
      </c>
      <c r="I218" s="40">
        <v>0.03</v>
      </c>
      <c r="J218" s="40">
        <v>0.03</v>
      </c>
      <c r="K218" s="40">
        <v>0.03</v>
      </c>
      <c r="L218" s="40">
        <v>0.03</v>
      </c>
      <c r="M218" s="40">
        <v>0.03</v>
      </c>
      <c r="N218" s="40">
        <v>0.03</v>
      </c>
      <c r="O218" s="40">
        <v>0.03</v>
      </c>
      <c r="P218" s="40">
        <v>0.03</v>
      </c>
      <c r="Q218" s="40">
        <v>0.03</v>
      </c>
      <c r="R218" s="40">
        <v>0.03</v>
      </c>
      <c r="S218" s="40">
        <v>0.03</v>
      </c>
      <c r="T218" s="40">
        <v>0.03</v>
      </c>
      <c r="U218" s="40">
        <v>0.03</v>
      </c>
      <c r="V218" s="33"/>
    </row>
    <row r="219" spans="2:25">
      <c r="B219" s="27" t="s">
        <v>697</v>
      </c>
      <c r="C219" s="33"/>
      <c r="D219" s="33" t="s">
        <v>359</v>
      </c>
      <c r="E219" s="33" t="s">
        <v>156</v>
      </c>
      <c r="F219" s="33"/>
      <c r="G219" s="34">
        <f t="shared" ref="G219:U219" si="88">G$117*N(G217)*N(G218)*$F$25*$F$55*$F$30/1000</f>
        <v>60.706799999999994</v>
      </c>
      <c r="H219" s="34">
        <f t="shared" si="88"/>
        <v>60.706799999999994</v>
      </c>
      <c r="I219" s="34">
        <f t="shared" si="88"/>
        <v>60.706799999999994</v>
      </c>
      <c r="J219" s="34">
        <f t="shared" si="88"/>
        <v>60.706799999999994</v>
      </c>
      <c r="K219" s="34">
        <f t="shared" si="88"/>
        <v>60.706799999999994</v>
      </c>
      <c r="L219" s="34">
        <f t="shared" si="88"/>
        <v>60.706799999999994</v>
      </c>
      <c r="M219" s="34">
        <f t="shared" si="88"/>
        <v>60.706799999999994</v>
      </c>
      <c r="N219" s="34">
        <f t="shared" si="88"/>
        <v>60.706799999999994</v>
      </c>
      <c r="O219" s="34">
        <f t="shared" si="88"/>
        <v>60.706799999999994</v>
      </c>
      <c r="P219" s="34">
        <f t="shared" si="88"/>
        <v>60.706799999999994</v>
      </c>
      <c r="Q219" s="34">
        <f t="shared" si="88"/>
        <v>60.706799999999994</v>
      </c>
      <c r="R219" s="34">
        <f t="shared" si="88"/>
        <v>60.706799999999994</v>
      </c>
      <c r="S219" s="34">
        <f t="shared" si="88"/>
        <v>0</v>
      </c>
      <c r="T219" s="34">
        <f t="shared" si="88"/>
        <v>0</v>
      </c>
      <c r="U219" s="34">
        <f t="shared" si="88"/>
        <v>0</v>
      </c>
      <c r="V219" s="34">
        <f>SUMPRODUCT($G$117:$U$117,G219:U219)</f>
        <v>728.48160000000007</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60.706799999999994</v>
      </c>
      <c r="H221" s="34">
        <f t="shared" si="89"/>
        <v>60.706799999999994</v>
      </c>
      <c r="I221" s="34">
        <f t="shared" si="89"/>
        <v>60.706799999999994</v>
      </c>
      <c r="J221" s="34">
        <f t="shared" si="89"/>
        <v>60.706799999999994</v>
      </c>
      <c r="K221" s="34">
        <f t="shared" si="89"/>
        <v>60.706799999999994</v>
      </c>
      <c r="L221" s="34">
        <f t="shared" si="89"/>
        <v>60.706799999999994</v>
      </c>
      <c r="M221" s="34">
        <f t="shared" si="89"/>
        <v>60.706799999999994</v>
      </c>
      <c r="N221" s="34">
        <f t="shared" si="89"/>
        <v>60.706799999999994</v>
      </c>
      <c r="O221" s="34">
        <f t="shared" si="89"/>
        <v>60.706799999999994</v>
      </c>
      <c r="P221" s="34">
        <f t="shared" si="89"/>
        <v>60.706799999999994</v>
      </c>
      <c r="Q221" s="34">
        <f t="shared" si="89"/>
        <v>60.706799999999994</v>
      </c>
      <c r="R221" s="34">
        <f t="shared" si="89"/>
        <v>60.706799999999994</v>
      </c>
      <c r="S221" s="34">
        <f t="shared" si="89"/>
        <v>0</v>
      </c>
      <c r="T221" s="34">
        <f t="shared" si="89"/>
        <v>0</v>
      </c>
      <c r="U221" s="34">
        <f t="shared" si="89"/>
        <v>0</v>
      </c>
      <c r="V221" s="34">
        <f>SUMPRODUCT($G$117:$U$117,G221:U221)</f>
        <v>728.48160000000007</v>
      </c>
    </row>
    <row r="222" spans="2:25">
      <c r="B222" s="30" t="s">
        <v>701</v>
      </c>
      <c r="C222" s="33" t="s">
        <v>702</v>
      </c>
      <c r="D222" s="33" t="s">
        <v>359</v>
      </c>
      <c r="E222" s="33" t="s">
        <v>149</v>
      </c>
      <c r="F222" s="33"/>
      <c r="G222" s="31">
        <f t="shared" ref="G222:U222" si="90">G210+G212+G$117*(N(G213)+N(G214))+G215+G216+G221</f>
        <v>1964.3035129310856</v>
      </c>
      <c r="H222" s="31">
        <f t="shared" si="90"/>
        <v>2255.1848039235715</v>
      </c>
      <c r="I222" s="31">
        <f t="shared" si="90"/>
        <v>2439.1625673478857</v>
      </c>
      <c r="J222" s="31">
        <f t="shared" si="90"/>
        <v>2439.1625673478857</v>
      </c>
      <c r="K222" s="31">
        <f t="shared" si="90"/>
        <v>2439.1625673478857</v>
      </c>
      <c r="L222" s="31">
        <f t="shared" si="90"/>
        <v>2444.0300677821715</v>
      </c>
      <c r="M222" s="31">
        <f t="shared" si="90"/>
        <v>2439.1625673478857</v>
      </c>
      <c r="N222" s="31">
        <f t="shared" si="90"/>
        <v>2439.1625673478857</v>
      </c>
      <c r="O222" s="31">
        <f t="shared" si="90"/>
        <v>2439.1625673478857</v>
      </c>
      <c r="P222" s="31">
        <f t="shared" si="90"/>
        <v>2444.0300677821715</v>
      </c>
      <c r="Q222" s="31">
        <f t="shared" si="90"/>
        <v>2439.1625673478857</v>
      </c>
      <c r="R222" s="31">
        <f t="shared" si="90"/>
        <v>2439.1625673478857</v>
      </c>
      <c r="S222" s="31">
        <f t="shared" si="90"/>
        <v>0</v>
      </c>
      <c r="T222" s="31">
        <f t="shared" si="90"/>
        <v>0</v>
      </c>
      <c r="U222" s="31">
        <f t="shared" si="90"/>
        <v>0</v>
      </c>
      <c r="V222" s="31">
        <f>SUMPRODUCT($G$117:$U$117,G222:U222)</f>
        <v>28620.848991202081</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FS dewatering and composting works (RC)</v>
      </c>
      <c r="C225" s="33" t="str">
        <f>IF($G$101="","",$G$101)</f>
        <v>Tier 3</v>
      </c>
      <c r="D225" s="33" t="s">
        <v>359</v>
      </c>
      <c r="E225" s="33" t="s">
        <v>174</v>
      </c>
      <c r="F225" s="33"/>
      <c r="G225" s="34">
        <f t="shared" ref="G225:U225" si="92">IF(OR(G$117=0,$G$101="",N($G$107)=0),0,IF($G$101="Tier 1",IF(AND(G$114&gt;=$G$108,IF(N($G$109)&gt;0,MOD(G$114-$G$108,$G$109)=0,G$114=$G$108)),$G$107,0),$G$107/($G$110*365)*MAX(0,MIN(G$119+1,$G$111+$G$110*365)-MAX(G$118,$G$111))))</f>
        <v>72</v>
      </c>
      <c r="H225" s="34">
        <f t="shared" si="92"/>
        <v>72.197260273972603</v>
      </c>
      <c r="I225" s="34">
        <f t="shared" si="92"/>
        <v>72</v>
      </c>
      <c r="J225" s="34">
        <f t="shared" si="92"/>
        <v>72</v>
      </c>
      <c r="K225" s="34">
        <f t="shared" si="92"/>
        <v>71.802739726027397</v>
      </c>
      <c r="L225" s="34">
        <f t="shared" si="92"/>
        <v>0</v>
      </c>
      <c r="M225" s="34">
        <f t="shared" si="92"/>
        <v>0</v>
      </c>
      <c r="N225" s="34">
        <f t="shared" si="92"/>
        <v>0</v>
      </c>
      <c r="O225" s="34">
        <f t="shared" si="92"/>
        <v>0</v>
      </c>
      <c r="P225" s="34">
        <f t="shared" si="92"/>
        <v>0</v>
      </c>
      <c r="Q225" s="34">
        <f t="shared" si="92"/>
        <v>0</v>
      </c>
      <c r="R225" s="34">
        <f t="shared" si="92"/>
        <v>0</v>
      </c>
      <c r="S225" s="34">
        <f t="shared" si="92"/>
        <v>0</v>
      </c>
      <c r="T225" s="34">
        <f t="shared" si="92"/>
        <v>0</v>
      </c>
      <c r="U225" s="34">
        <f t="shared" si="92"/>
        <v>0</v>
      </c>
      <c r="V225" s="34">
        <f t="shared" ref="V225:V240" si="93">SUMPRODUCT($G$117:$U$117,G225:U225)</f>
        <v>360</v>
      </c>
      <c r="W225" s="34">
        <f t="shared" ref="W225:W232" si="94">IF($F$44&gt;0,SUMPRODUCT(($G$114:$U$114&lt;=$F$44)*(G225:U225)),0)</f>
        <v>0</v>
      </c>
      <c r="X225" s="34">
        <f>IF(AND($F$44&gt;0,$G$101&lt;&gt;"",$G$101&lt;&gt;"Tier 1",N($G$108)&lt;=$F$44),$G$107-W225,0)</f>
        <v>0</v>
      </c>
    </row>
    <row r="226" spans="2:25">
      <c r="B226" s="27" t="str">
        <f>"Item 2: "&amp;IF($H$100="","not used",$H$100)</f>
        <v>Item 2: Wastewater treatment plant (RC)</v>
      </c>
      <c r="C226" s="33" t="str">
        <f>IF($H$101="","",$H$101)</f>
        <v>Tier 3</v>
      </c>
      <c r="D226" s="33" t="s">
        <v>359</v>
      </c>
      <c r="E226" s="33" t="s">
        <v>174</v>
      </c>
      <c r="F226" s="33"/>
      <c r="G226" s="34">
        <f t="shared" ref="G226:U226" si="95">IF(OR(G$117=0,$H$101="",N($H$107)=0),0,IF($H$101="Tier 1",IF(AND(G$114&gt;=$H$108,IF(N($H$109)&gt;0,MOD(G$114-$H$108,$H$109)=0,G$114=$H$108)),$H$107,0),$H$107/($H$110*365)*MAX(0,MIN(G$119+1,$H$111+$H$110*365)-MAX(G$118,$H$111))))</f>
        <v>90</v>
      </c>
      <c r="H226" s="34">
        <f t="shared" si="95"/>
        <v>90.246575342465746</v>
      </c>
      <c r="I226" s="34">
        <f t="shared" si="95"/>
        <v>90</v>
      </c>
      <c r="J226" s="34">
        <f t="shared" si="95"/>
        <v>90</v>
      </c>
      <c r="K226" s="34">
        <f t="shared" si="95"/>
        <v>89.753424657534239</v>
      </c>
      <c r="L226" s="34">
        <f t="shared" si="95"/>
        <v>0</v>
      </c>
      <c r="M226" s="34">
        <f t="shared" si="95"/>
        <v>0</v>
      </c>
      <c r="N226" s="34">
        <f t="shared" si="95"/>
        <v>0</v>
      </c>
      <c r="O226" s="34">
        <f t="shared" si="95"/>
        <v>0</v>
      </c>
      <c r="P226" s="34">
        <f t="shared" si="95"/>
        <v>0</v>
      </c>
      <c r="Q226" s="34">
        <f t="shared" si="95"/>
        <v>0</v>
      </c>
      <c r="R226" s="34">
        <f t="shared" si="95"/>
        <v>0</v>
      </c>
      <c r="S226" s="34">
        <f t="shared" si="95"/>
        <v>0</v>
      </c>
      <c r="T226" s="34">
        <f t="shared" si="95"/>
        <v>0</v>
      </c>
      <c r="U226" s="34">
        <f t="shared" si="95"/>
        <v>0</v>
      </c>
      <c r="V226" s="34">
        <f t="shared" si="93"/>
        <v>450</v>
      </c>
      <c r="W226" s="34">
        <f t="shared" si="94"/>
        <v>0</v>
      </c>
      <c r="X226" s="34">
        <f>IF(AND($F$44&gt;0,$H$101&lt;&gt;"",$H$101&lt;&gt;"Tier 1",N($H$108)&lt;=$F$44),$H$107-W226,0)</f>
        <v>0</v>
      </c>
    </row>
    <row r="227" spans="2:25">
      <c r="B227" s="27" t="str">
        <f>"Item 3: "&amp;IF($I$100="","not used",$I$100)</f>
        <v>Item 3: Dewatering presses</v>
      </c>
      <c r="C227" s="33" t="str">
        <f>IF($I$101="","",$I$101)</f>
        <v>Tier 3</v>
      </c>
      <c r="D227" s="33" t="s">
        <v>359</v>
      </c>
      <c r="E227" s="33" t="s">
        <v>174</v>
      </c>
      <c r="F227" s="33"/>
      <c r="G227" s="34">
        <f t="shared" ref="G227:U227" si="96">IF(OR(G$117=0,$I$101="",N($I$107)=0),0,IF($I$101="Tier 1",IF(AND(G$114&gt;=$I$108,IF(N($I$109)&gt;0,MOD(G$114-$I$108,$I$109)=0,G$114=$I$108)),$I$107,0),$I$107/($I$110*365)*MAX(0,MIN(G$119+1,$I$111+$I$110*365)-MAX(G$118,$I$111))))</f>
        <v>14.64</v>
      </c>
      <c r="H227" s="34">
        <f t="shared" si="96"/>
        <v>14.680109589041097</v>
      </c>
      <c r="I227" s="34">
        <f t="shared" si="96"/>
        <v>14.64</v>
      </c>
      <c r="J227" s="34">
        <f t="shared" si="96"/>
        <v>14.64</v>
      </c>
      <c r="K227" s="34">
        <f t="shared" si="96"/>
        <v>14.599890410958904</v>
      </c>
      <c r="L227" s="34">
        <f t="shared" si="96"/>
        <v>0</v>
      </c>
      <c r="M227" s="34">
        <f t="shared" si="96"/>
        <v>0</v>
      </c>
      <c r="N227" s="34">
        <f t="shared" si="96"/>
        <v>0</v>
      </c>
      <c r="O227" s="34">
        <f t="shared" si="96"/>
        <v>0</v>
      </c>
      <c r="P227" s="34">
        <f t="shared" si="96"/>
        <v>0</v>
      </c>
      <c r="Q227" s="34">
        <f t="shared" si="96"/>
        <v>0</v>
      </c>
      <c r="R227" s="34">
        <f t="shared" si="96"/>
        <v>0</v>
      </c>
      <c r="S227" s="34">
        <f t="shared" si="96"/>
        <v>0</v>
      </c>
      <c r="T227" s="34">
        <f t="shared" si="96"/>
        <v>0</v>
      </c>
      <c r="U227" s="34">
        <f t="shared" si="96"/>
        <v>0</v>
      </c>
      <c r="V227" s="34">
        <f t="shared" si="93"/>
        <v>73.2</v>
      </c>
      <c r="W227" s="34">
        <f t="shared" si="94"/>
        <v>0</v>
      </c>
      <c r="X227" s="34">
        <f>IF(AND($F$44&gt;0,$I$101&lt;&gt;"",$I$101&lt;&gt;"Tier 1",N($I$108)&lt;=$F$44),$I$107-W227,0)</f>
        <v>0</v>
      </c>
    </row>
    <row r="228" spans="2:25">
      <c r="B228" s="27" t="str">
        <f>"Item 4: "&amp;IF($J$100="","not used",$J$100)</f>
        <v>Item 4: Vacuum and transfer trucks</v>
      </c>
      <c r="C228" s="33" t="str">
        <f>IF($J$101="","",$J$101)</f>
        <v>Tier 3</v>
      </c>
      <c r="D228" s="33" t="s">
        <v>359</v>
      </c>
      <c r="E228" s="33" t="s">
        <v>174</v>
      </c>
      <c r="F228" s="33"/>
      <c r="G228" s="34">
        <f t="shared" ref="G228:U228" si="97">IF(OR(G$117=0,$J$101="",N($J$107)=0),0,IF($J$101="Tier 1",IF(AND(G$114&gt;=$J$108,IF(N($J$109)&gt;0,MOD(G$114-$J$108,$J$109)=0,G$114=$J$108)),$J$107,0),$J$107/($J$110*365)*MAX(0,MIN(G$119+1,$J$111+$J$110*365)-MAX(G$118,$J$111))))</f>
        <v>46.08</v>
      </c>
      <c r="H228" s="34">
        <f t="shared" si="97"/>
        <v>46.206246575342462</v>
      </c>
      <c r="I228" s="34">
        <f t="shared" si="97"/>
        <v>46.08</v>
      </c>
      <c r="J228" s="34">
        <f t="shared" si="97"/>
        <v>46.08</v>
      </c>
      <c r="K228" s="34">
        <f t="shared" si="97"/>
        <v>45.953753424657535</v>
      </c>
      <c r="L228" s="34">
        <f t="shared" si="97"/>
        <v>0</v>
      </c>
      <c r="M228" s="34">
        <f t="shared" si="97"/>
        <v>0</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230.39999999999998</v>
      </c>
      <c r="W228" s="34">
        <f t="shared" si="94"/>
        <v>0</v>
      </c>
      <c r="X228" s="34">
        <f>IF(AND($F$44&gt;0,$J$101&lt;&gt;"",$J$101&lt;&gt;"Tier 1",N($J$108)&lt;=$F$44),$J$107-W228,0)</f>
        <v>0</v>
      </c>
    </row>
    <row r="229" spans="2:25">
      <c r="B229" s="27" t="str">
        <f>"Item 5: "&amp;IF($K$100="","not used",$K$100)</f>
        <v>Item 5: CBS containers, batch 1</v>
      </c>
      <c r="C229" s="33" t="str">
        <f>IF($K$101="","",$K$101)</f>
        <v>Tier 1</v>
      </c>
      <c r="D229" s="33" t="s">
        <v>359</v>
      </c>
      <c r="E229" s="33" t="s">
        <v>174</v>
      </c>
      <c r="F229" s="33"/>
      <c r="G229" s="34">
        <f t="shared" ref="G229:U229" si="98">IF(OR(G$117=0,$K$101="",N($K$107)=0),0,IF($K$101="Tier 1",IF(AND(G$114&gt;=$K$108,IF(N($K$109)&gt;0,MOD(G$114-$K$108,$K$109)=0,G$114=$K$108)),$K$107,0),$K$107/($K$110*365)*MAX(0,MIN(G$119+1,$K$111+$K$110*365)-MAX(G$118,$K$111))))</f>
        <v>600</v>
      </c>
      <c r="H229" s="34">
        <f t="shared" si="98"/>
        <v>0</v>
      </c>
      <c r="I229" s="34">
        <f t="shared" si="98"/>
        <v>0</v>
      </c>
      <c r="J229" s="34">
        <f t="shared" si="98"/>
        <v>600</v>
      </c>
      <c r="K229" s="34">
        <f t="shared" si="98"/>
        <v>0</v>
      </c>
      <c r="L229" s="34">
        <f t="shared" si="98"/>
        <v>0</v>
      </c>
      <c r="M229" s="34">
        <f t="shared" si="98"/>
        <v>600</v>
      </c>
      <c r="N229" s="34">
        <f t="shared" si="98"/>
        <v>0</v>
      </c>
      <c r="O229" s="34">
        <f t="shared" si="98"/>
        <v>0</v>
      </c>
      <c r="P229" s="34">
        <f t="shared" si="98"/>
        <v>600</v>
      </c>
      <c r="Q229" s="34">
        <f t="shared" si="98"/>
        <v>0</v>
      </c>
      <c r="R229" s="34">
        <f t="shared" si="98"/>
        <v>0</v>
      </c>
      <c r="S229" s="34">
        <f t="shared" si="98"/>
        <v>0</v>
      </c>
      <c r="T229" s="34">
        <f t="shared" si="98"/>
        <v>0</v>
      </c>
      <c r="U229" s="34">
        <f t="shared" si="98"/>
        <v>0</v>
      </c>
      <c r="V229" s="34">
        <f t="shared" si="93"/>
        <v>2400</v>
      </c>
      <c r="W229" s="34">
        <f t="shared" si="94"/>
        <v>0</v>
      </c>
      <c r="X229" s="34">
        <f>IF(AND($F$44&gt;0,$K$101&lt;&gt;"",$K$101&lt;&gt;"Tier 1",N($K$108)&lt;=$F$44),$K$107-W229,0)</f>
        <v>0</v>
      </c>
    </row>
    <row r="230" spans="2:25">
      <c r="B230" s="27" t="str">
        <f>"Item 6: "&amp;IF($L$100="","not used",$L$100)</f>
        <v>Item 6: CBS containers, batch 2</v>
      </c>
      <c r="C230" s="33" t="str">
        <f>IF($L$101="","",$L$101)</f>
        <v>Tier 1</v>
      </c>
      <c r="D230" s="33" t="s">
        <v>359</v>
      </c>
      <c r="E230" s="33" t="s">
        <v>174</v>
      </c>
      <c r="F230" s="33"/>
      <c r="G230" s="34">
        <f t="shared" ref="G230:U230" si="99">IF(OR(G$117=0,$L$101="",N($L$107)=0),0,IF($L$101="Tier 1",IF(AND(G$114&gt;=$L$108,IF(N($L$109)&gt;0,MOD(G$114-$L$108,$L$109)=0,G$114=$L$108)),$L$107,0),$L$107/($L$110*365)*MAX(0,MIN(G$119+1,$L$111+$L$110*365)-MAX(G$118,$L$111))))</f>
        <v>0</v>
      </c>
      <c r="H230" s="34">
        <f t="shared" si="99"/>
        <v>360</v>
      </c>
      <c r="I230" s="34">
        <f t="shared" si="99"/>
        <v>0</v>
      </c>
      <c r="J230" s="34">
        <f t="shared" si="99"/>
        <v>0</v>
      </c>
      <c r="K230" s="34">
        <f t="shared" si="99"/>
        <v>360</v>
      </c>
      <c r="L230" s="34">
        <f t="shared" si="99"/>
        <v>0</v>
      </c>
      <c r="M230" s="34">
        <f t="shared" si="99"/>
        <v>0</v>
      </c>
      <c r="N230" s="34">
        <f t="shared" si="99"/>
        <v>360</v>
      </c>
      <c r="O230" s="34">
        <f t="shared" si="99"/>
        <v>0</v>
      </c>
      <c r="P230" s="34">
        <f t="shared" si="99"/>
        <v>0</v>
      </c>
      <c r="Q230" s="34">
        <f t="shared" si="99"/>
        <v>360</v>
      </c>
      <c r="R230" s="34">
        <f t="shared" si="99"/>
        <v>0</v>
      </c>
      <c r="S230" s="34">
        <f t="shared" si="99"/>
        <v>0</v>
      </c>
      <c r="T230" s="34">
        <f t="shared" si="99"/>
        <v>0</v>
      </c>
      <c r="U230" s="34">
        <f t="shared" si="99"/>
        <v>0</v>
      </c>
      <c r="V230" s="34">
        <f t="shared" si="93"/>
        <v>1440</v>
      </c>
      <c r="W230" s="34">
        <f t="shared" si="94"/>
        <v>0</v>
      </c>
      <c r="X230" s="34">
        <f>IF(AND($F$44&gt;0,$L$101&lt;&gt;"",$L$101&lt;&gt;"Tier 1",N($L$108)&lt;=$F$44),$L$107-W230,0)</f>
        <v>0</v>
      </c>
    </row>
    <row r="231" spans="2:25">
      <c r="B231" s="27" t="str">
        <f>"Item 7: "&amp;IF($M$100="","not used",$M$100)</f>
        <v>Item 7: CBS containers, batch 3</v>
      </c>
      <c r="C231" s="33" t="str">
        <f>IF($M$101="","",$M$101)</f>
        <v>Tier 1</v>
      </c>
      <c r="D231" s="33" t="s">
        <v>359</v>
      </c>
      <c r="E231" s="33" t="s">
        <v>174</v>
      </c>
      <c r="F231" s="33"/>
      <c r="G231" s="34">
        <f t="shared" ref="G231:U231" si="100">IF(OR(G$117=0,$M$101="",N($M$107)=0),0,IF($M$101="Tier 1",IF(AND(G$114&gt;=$M$108,IF(N($M$109)&gt;0,MOD(G$114-$M$108,$M$109)=0,G$114=$M$108)),$M$107,0),$M$107/($M$110*365)*MAX(0,MIN(G$119+1,$M$111+$M$110*365)-MAX(G$118,$M$111))))</f>
        <v>0</v>
      </c>
      <c r="H231" s="34">
        <f t="shared" si="100"/>
        <v>0</v>
      </c>
      <c r="I231" s="34">
        <f t="shared" si="100"/>
        <v>240</v>
      </c>
      <c r="J231" s="34">
        <f t="shared" si="100"/>
        <v>0</v>
      </c>
      <c r="K231" s="34">
        <f t="shared" si="100"/>
        <v>0</v>
      </c>
      <c r="L231" s="34">
        <f t="shared" si="100"/>
        <v>240</v>
      </c>
      <c r="M231" s="34">
        <f t="shared" si="100"/>
        <v>0</v>
      </c>
      <c r="N231" s="34">
        <f t="shared" si="100"/>
        <v>0</v>
      </c>
      <c r="O231" s="34">
        <f t="shared" si="100"/>
        <v>240</v>
      </c>
      <c r="P231" s="34">
        <f t="shared" si="100"/>
        <v>0</v>
      </c>
      <c r="Q231" s="34">
        <f t="shared" si="100"/>
        <v>0</v>
      </c>
      <c r="R231" s="34">
        <f t="shared" si="100"/>
        <v>240</v>
      </c>
      <c r="S231" s="34">
        <f t="shared" si="100"/>
        <v>0</v>
      </c>
      <c r="T231" s="34">
        <f t="shared" si="100"/>
        <v>0</v>
      </c>
      <c r="U231" s="34">
        <f t="shared" si="100"/>
        <v>0</v>
      </c>
      <c r="V231" s="34">
        <f t="shared" si="93"/>
        <v>960</v>
      </c>
      <c r="W231" s="34">
        <f t="shared" si="94"/>
        <v>0</v>
      </c>
      <c r="X231" s="34">
        <f>IF(AND($F$44&gt;0,$M$101&lt;&gt;"",$M$101&lt;&gt;"Tier 1",N($M$108)&lt;=$F$44),$M$107-W231,0)</f>
        <v>0</v>
      </c>
    </row>
    <row r="232" spans="2:25">
      <c r="B232" s="27" t="str">
        <f>"Item 8: "&amp;IF($N$100="","not used",$N$100)</f>
        <v>Item 8: Plant pipework (PVC)</v>
      </c>
      <c r="C232" s="33" t="str">
        <f>IF($N$101="","",$N$101)</f>
        <v>Tier 3</v>
      </c>
      <c r="D232" s="33" t="s">
        <v>359</v>
      </c>
      <c r="E232" s="33" t="s">
        <v>174</v>
      </c>
      <c r="F232" s="33"/>
      <c r="G232" s="34">
        <f t="shared" ref="G232:U232" si="101">IF(OR(G$117=0,$N$101="",N($N$107)=0),0,IF($N$101="Tier 1",IF(AND(G$114&gt;=$N$108,IF(N($N$109)&gt;0,MOD(G$114-$N$108,$N$109)=0,G$114=$N$108)),$N$107,0),$N$107/($N$110*365)*MAX(0,MIN(G$119+1,$N$111+$N$110*365)-MAX(G$118,$N$111))))</f>
        <v>18.599999999999998</v>
      </c>
      <c r="H232" s="34">
        <f t="shared" si="101"/>
        <v>18.650958904109586</v>
      </c>
      <c r="I232" s="34">
        <f t="shared" si="101"/>
        <v>18.599999999999998</v>
      </c>
      <c r="J232" s="34">
        <f t="shared" si="101"/>
        <v>18.599999999999998</v>
      </c>
      <c r="K232" s="34">
        <f t="shared" si="101"/>
        <v>18.549041095890409</v>
      </c>
      <c r="L232" s="34">
        <f t="shared" si="101"/>
        <v>0</v>
      </c>
      <c r="M232" s="34">
        <f t="shared" si="101"/>
        <v>0</v>
      </c>
      <c r="N232" s="34">
        <f t="shared" si="101"/>
        <v>0</v>
      </c>
      <c r="O232" s="34">
        <f t="shared" si="101"/>
        <v>0</v>
      </c>
      <c r="P232" s="34">
        <f t="shared" si="101"/>
        <v>0</v>
      </c>
      <c r="Q232" s="34">
        <f t="shared" si="101"/>
        <v>0</v>
      </c>
      <c r="R232" s="34">
        <f t="shared" si="101"/>
        <v>0</v>
      </c>
      <c r="S232" s="34">
        <f t="shared" si="101"/>
        <v>0</v>
      </c>
      <c r="T232" s="34">
        <f t="shared" si="101"/>
        <v>0</v>
      </c>
      <c r="U232" s="34">
        <f t="shared" si="101"/>
        <v>0</v>
      </c>
      <c r="V232" s="34">
        <f t="shared" si="93"/>
        <v>92.999999999999972</v>
      </c>
      <c r="W232" s="34">
        <f t="shared" si="94"/>
        <v>0</v>
      </c>
      <c r="X232" s="34">
        <f>IF(AND($F$44&gt;0,$N$101&lt;&gt;"",$N$101&lt;&gt;"Tier 1",N($N$108)&lt;=$F$44),$N$107-W232,0)</f>
        <v>0</v>
      </c>
    </row>
    <row r="233" spans="2:25" ht="21">
      <c r="B233" s="27" t="s">
        <v>706</v>
      </c>
      <c r="C233" s="33" t="s">
        <v>707</v>
      </c>
      <c r="D233" s="33" t="s">
        <v>359</v>
      </c>
      <c r="E233" s="33" t="s">
        <v>708</v>
      </c>
      <c r="F233" s="33"/>
      <c r="G233" s="34">
        <f t="shared" ref="G233:U233" si="102">SUM(G225:G232)</f>
        <v>841.32</v>
      </c>
      <c r="H233" s="34">
        <f t="shared" si="102"/>
        <v>601.98115068493144</v>
      </c>
      <c r="I233" s="34">
        <f t="shared" si="102"/>
        <v>481.32</v>
      </c>
      <c r="J233" s="34">
        <f t="shared" si="102"/>
        <v>841.32</v>
      </c>
      <c r="K233" s="34">
        <f t="shared" si="102"/>
        <v>600.65884931506844</v>
      </c>
      <c r="L233" s="34">
        <f t="shared" si="102"/>
        <v>240</v>
      </c>
      <c r="M233" s="34">
        <f t="shared" si="102"/>
        <v>600</v>
      </c>
      <c r="N233" s="34">
        <f t="shared" si="102"/>
        <v>360</v>
      </c>
      <c r="O233" s="34">
        <f t="shared" si="102"/>
        <v>240</v>
      </c>
      <c r="P233" s="34">
        <f t="shared" si="102"/>
        <v>600</v>
      </c>
      <c r="Q233" s="34">
        <f t="shared" si="102"/>
        <v>360</v>
      </c>
      <c r="R233" s="34">
        <f t="shared" si="102"/>
        <v>240</v>
      </c>
      <c r="S233" s="34">
        <f t="shared" si="102"/>
        <v>0</v>
      </c>
      <c r="T233" s="34">
        <f t="shared" si="102"/>
        <v>0</v>
      </c>
      <c r="U233" s="34">
        <f t="shared" si="102"/>
        <v>0</v>
      </c>
      <c r="V233" s="34">
        <f t="shared" si="93"/>
        <v>6006.6</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0</v>
      </c>
      <c r="O234" s="34">
        <f t="shared" si="103"/>
        <v>0</v>
      </c>
      <c r="P234" s="34">
        <f t="shared" si="103"/>
        <v>0</v>
      </c>
      <c r="Q234" s="34">
        <f t="shared" si="103"/>
        <v>0</v>
      </c>
      <c r="R234" s="34">
        <f t="shared" si="103"/>
        <v>0</v>
      </c>
      <c r="S234" s="34">
        <f t="shared" si="103"/>
        <v>0</v>
      </c>
      <c r="T234" s="34">
        <f t="shared" si="103"/>
        <v>0</v>
      </c>
      <c r="U234" s="34">
        <f t="shared" si="103"/>
        <v>0</v>
      </c>
      <c r="V234" s="34">
        <f t="shared" si="93"/>
        <v>0</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841.32</v>
      </c>
      <c r="H240" s="31">
        <f t="shared" si="107"/>
        <v>601.98115068493144</v>
      </c>
      <c r="I240" s="31">
        <f t="shared" si="107"/>
        <v>481.32</v>
      </c>
      <c r="J240" s="31">
        <f t="shared" si="107"/>
        <v>841.32</v>
      </c>
      <c r="K240" s="31">
        <f t="shared" si="107"/>
        <v>600.65884931506844</v>
      </c>
      <c r="L240" s="31">
        <f t="shared" si="107"/>
        <v>240</v>
      </c>
      <c r="M240" s="31">
        <f t="shared" si="107"/>
        <v>600</v>
      </c>
      <c r="N240" s="31">
        <f t="shared" si="107"/>
        <v>360</v>
      </c>
      <c r="O240" s="31">
        <f t="shared" si="107"/>
        <v>240</v>
      </c>
      <c r="P240" s="31">
        <f t="shared" si="107"/>
        <v>600</v>
      </c>
      <c r="Q240" s="31">
        <f t="shared" si="107"/>
        <v>360</v>
      </c>
      <c r="R240" s="31">
        <f t="shared" si="107"/>
        <v>240</v>
      </c>
      <c r="S240" s="31">
        <f t="shared" si="107"/>
        <v>0</v>
      </c>
      <c r="T240" s="31">
        <f t="shared" si="107"/>
        <v>0</v>
      </c>
      <c r="U240" s="31">
        <f t="shared" si="107"/>
        <v>0</v>
      </c>
      <c r="V240" s="31">
        <f t="shared" si="93"/>
        <v>6006.6</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6694.3500065812032</v>
      </c>
      <c r="H243" s="34">
        <f t="shared" si="109"/>
        <v>11240.885913563741</v>
      </c>
      <c r="I243" s="34">
        <f t="shared" si="109"/>
        <v>14106.163697352131</v>
      </c>
      <c r="J243" s="34">
        <f t="shared" si="109"/>
        <v>13746.163697352131</v>
      </c>
      <c r="K243" s="34">
        <f t="shared" si="109"/>
        <v>13986.824848037062</v>
      </c>
      <c r="L243" s="34">
        <f t="shared" si="109"/>
        <v>14389.264542848527</v>
      </c>
      <c r="M243" s="34">
        <f t="shared" si="109"/>
        <v>13987.483697352131</v>
      </c>
      <c r="N243" s="34">
        <f t="shared" si="109"/>
        <v>14227.483697352131</v>
      </c>
      <c r="O243" s="34">
        <f t="shared" si="109"/>
        <v>14347.483697352131</v>
      </c>
      <c r="P243" s="34">
        <f t="shared" si="109"/>
        <v>14029.264542848527</v>
      </c>
      <c r="Q243" s="34">
        <f t="shared" si="109"/>
        <v>14227.483697352131</v>
      </c>
      <c r="R243" s="34">
        <f t="shared" si="109"/>
        <v>14347.483697352131</v>
      </c>
      <c r="S243" s="34">
        <f t="shared" si="109"/>
        <v>0</v>
      </c>
      <c r="T243" s="34">
        <f t="shared" si="109"/>
        <v>0</v>
      </c>
      <c r="U243" s="34">
        <f t="shared" si="109"/>
        <v>0</v>
      </c>
      <c r="V243" s="34">
        <f>SUMPRODUCT($G$117:$U$117,G243:U243)</f>
        <v>159330.33573534398</v>
      </c>
    </row>
    <row r="244" spans="2:25">
      <c r="B244" s="30" t="s">
        <v>721</v>
      </c>
      <c r="C244" s="33"/>
      <c r="D244" s="33" t="s">
        <v>359</v>
      </c>
      <c r="E244" s="33" t="s">
        <v>722</v>
      </c>
      <c r="F244" s="33"/>
      <c r="G244" s="31">
        <f t="shared" ref="G244:U244" si="110">IF(G$117=1,MAX(0,G243),0)</f>
        <v>6694.3500065812032</v>
      </c>
      <c r="H244" s="31">
        <f t="shared" si="110"/>
        <v>11240.885913563741</v>
      </c>
      <c r="I244" s="31">
        <f t="shared" si="110"/>
        <v>14106.163697352131</v>
      </c>
      <c r="J244" s="31">
        <f t="shared" si="110"/>
        <v>13746.163697352131</v>
      </c>
      <c r="K244" s="31">
        <f t="shared" si="110"/>
        <v>13986.824848037062</v>
      </c>
      <c r="L244" s="31">
        <f t="shared" si="110"/>
        <v>14389.264542848527</v>
      </c>
      <c r="M244" s="31">
        <f t="shared" si="110"/>
        <v>13987.483697352131</v>
      </c>
      <c r="N244" s="31">
        <f t="shared" si="110"/>
        <v>14227.483697352131</v>
      </c>
      <c r="O244" s="31">
        <f t="shared" si="110"/>
        <v>14347.483697352131</v>
      </c>
      <c r="P244" s="31">
        <f t="shared" si="110"/>
        <v>14029.264542848527</v>
      </c>
      <c r="Q244" s="31">
        <f t="shared" si="110"/>
        <v>14227.483697352131</v>
      </c>
      <c r="R244" s="31">
        <f t="shared" si="110"/>
        <v>14347.483697352131</v>
      </c>
      <c r="S244" s="31">
        <f t="shared" si="110"/>
        <v>0</v>
      </c>
      <c r="T244" s="31">
        <f t="shared" si="110"/>
        <v>0</v>
      </c>
      <c r="U244" s="31">
        <f t="shared" si="110"/>
        <v>0</v>
      </c>
      <c r="V244" s="31">
        <f>SUMPRODUCT($G$117:$U$117,G244:U244)</f>
        <v>159330.33573534398</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6694.3500065812032</v>
      </c>
      <c r="H246" s="34">
        <f>SUM($G244:H244)</f>
        <v>17935.235920144944</v>
      </c>
      <c r="I246" s="34">
        <f>SUM($G244:I244)</f>
        <v>32041.399617497074</v>
      </c>
      <c r="J246" s="34">
        <f>SUM($G244:J244)</f>
        <v>45787.563314849205</v>
      </c>
      <c r="K246" s="34">
        <f>SUM($G244:K244)</f>
        <v>59774.388162886265</v>
      </c>
      <c r="L246" s="34">
        <f>SUM($G244:L244)</f>
        <v>74163.652705734799</v>
      </c>
      <c r="M246" s="34">
        <f>SUM($G244:M244)</f>
        <v>88151.13640308693</v>
      </c>
      <c r="N246" s="34">
        <f>SUM($G244:N244)</f>
        <v>102378.62010043906</v>
      </c>
      <c r="O246" s="34">
        <f>SUM($G244:O244)</f>
        <v>116726.10379779119</v>
      </c>
      <c r="P246" s="34">
        <f>SUM($G244:P244)</f>
        <v>130755.36834063972</v>
      </c>
      <c r="Q246" s="34">
        <f>SUM($G244:Q244)</f>
        <v>144982.85203799186</v>
      </c>
      <c r="R246" s="34">
        <f>SUM($G244:R244)</f>
        <v>159330.33573534398</v>
      </c>
      <c r="S246" s="34">
        <f>SUM($G244:S244)</f>
        <v>159330.33573534398</v>
      </c>
      <c r="T246" s="34">
        <f>SUM($G244:T244)</f>
        <v>159330.33573534398</v>
      </c>
      <c r="U246" s="34">
        <f>SUM($G244:U244)</f>
        <v>159330.33573534398</v>
      </c>
      <c r="V246" s="33"/>
    </row>
    <row r="248" spans="2:25" ht="20.100000000000001" customHeight="1">
      <c r="B248" s="20" t="s">
        <v>725</v>
      </c>
      <c r="C248" s="20"/>
      <c r="D248" s="20"/>
      <c r="E248" s="20"/>
      <c r="F248" s="20"/>
    </row>
    <row r="249" spans="2:25">
      <c r="B249" s="27" t="s">
        <v>726</v>
      </c>
      <c r="C249" s="33"/>
      <c r="D249" s="33" t="s">
        <v>359</v>
      </c>
      <c r="E249" s="33"/>
      <c r="F249" s="31">
        <f>SUMPRODUCT(($G$116:$U$116=1)*($G$244:$U$244))</f>
        <v>59774.388162886265</v>
      </c>
    </row>
    <row r="250" spans="2:25">
      <c r="B250" s="27" t="s">
        <v>727</v>
      </c>
      <c r="C250" s="33"/>
      <c r="D250" s="33" t="s">
        <v>359</v>
      </c>
      <c r="E250" s="33"/>
      <c r="F250" s="31">
        <f>SUMPRODUCT(($G$116:$U$116=2)*($G$244:$U$244))</f>
        <v>70980.980177753445</v>
      </c>
    </row>
    <row r="251" spans="2:25">
      <c r="B251" s="27" t="s">
        <v>728</v>
      </c>
      <c r="C251" s="33"/>
      <c r="D251" s="33" t="s">
        <v>359</v>
      </c>
      <c r="E251" s="33"/>
      <c r="F251" s="31">
        <f>SUMPRODUCT(($G$116:$U$116=3)*($G$244:$U$244))</f>
        <v>28574.967394704261</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19" priority="1">
      <formula>$G$75=""</formula>
    </cfRule>
  </conditionalFormatting>
  <conditionalFormatting sqref="B138:V150">
    <cfRule type="expression" dxfId="18" priority="2">
      <formula>$H$75=""</formula>
    </cfRule>
  </conditionalFormatting>
  <conditionalFormatting sqref="B152:V164">
    <cfRule type="expression" dxfId="17" priority="3">
      <formula>$I$75=""</formula>
    </cfRule>
  </conditionalFormatting>
  <conditionalFormatting sqref="B166:V178">
    <cfRule type="expression" dxfId="16" priority="4">
      <formula>$J$75=""</formula>
    </cfRule>
  </conditionalFormatting>
  <conditionalFormatting sqref="B180:V192">
    <cfRule type="expression" dxfId="15" priority="5">
      <formula>$K$75=""</formula>
    </cfRule>
  </conditionalFormatting>
  <conditionalFormatting sqref="F14">
    <cfRule type="expression" dxfId="14" priority="9">
      <formula>LEFT(F14,6)="Review"</formula>
    </cfRule>
  </conditionalFormatting>
  <conditionalFormatting sqref="G96:K96">
    <cfRule type="expression" dxfId="13" priority="8">
      <formula>AND(G96&lt;&gt;"",G96&lt;&gt;"OK")</formula>
    </cfRule>
  </conditionalFormatting>
  <conditionalFormatting sqref="G115:U246">
    <cfRule type="expression" dxfId="12" priority="6">
      <formula>G$117=0</formula>
    </cfRule>
  </conditionalFormatting>
  <conditionalFormatting sqref="G122:U122">
    <cfRule type="expression" dxfId="11" priority="7">
      <formula>LEFT(G122,7)="Carried"</formula>
    </cfRule>
  </conditionalFormatting>
  <dataValidations count="19">
    <dataValidation type="list" allowBlank="1" showErrorMessage="1" errorTitle="Invalid entry" error="Select a value from the list." sqref="F18" xr:uid="{00000000-0002-0000-0900-000000000000}">
      <formula1>L_Country</formula1>
    </dataValidation>
    <dataValidation type="list" allowBlank="1" showErrorMessage="1" errorTitle="Invalid entry" error="Select a value from the list." sqref="F20" xr:uid="{00000000-0002-0000-0900-000001000000}">
      <formula1>L_BOD</formula1>
    </dataValidation>
    <dataValidation type="list" allowBlank="1" showErrorMessage="1" errorTitle="Invalid entry" error="Select a value from the list." sqref="F43" xr:uid="{00000000-0002-0000-0900-000002000000}">
      <formula1>L_Ops</formula1>
    </dataValidation>
    <dataValidation type="list" allowBlank="1" showErrorMessage="1" errorTitle="Invalid entry" error="Select a value from the list." sqref="F45" xr:uid="{00000000-0002-0000-0900-000003000000}">
      <formula1>L_Elec</formula1>
    </dataValidation>
    <dataValidation type="list" allowBlank="1" showErrorMessage="1" errorTitle="Invalid entry" error="Select a value from the list." sqref="F48 F51" xr:uid="{00000000-0002-0000-0900-000004000000}">
      <formula1>L_Fuel</formula1>
    </dataValidation>
    <dataValidation type="list" allowBlank="1" showErrorMessage="1" errorTitle="Invalid entry" error="Select a value from the list." sqref="F50" xr:uid="{00000000-0002-0000-0900-000005000000}">
      <formula1>L_Transport</formula1>
    </dataValidation>
    <dataValidation type="date" showErrorMessage="1" error="Enter a date between 1 January 2026 and 31 December 2035." sqref="F42" xr:uid="{00000000-0002-0000-0900-000006000000}">
      <formula1>DATE(2026,1,1)</formula1>
      <formula2>DATE(2035,12,31)</formula2>
    </dataValidation>
    <dataValidation type="whole" allowBlank="1" showErrorMessage="1" error="Enter a value between 0 and 15." sqref="F44 G109:N109" xr:uid="{00000000-0002-0000-0900-000007000000}">
      <formula1>0</formula1>
      <formula2>15</formula2>
    </dataValidation>
    <dataValidation type="decimal" allowBlank="1" showErrorMessage="1" error="Enter a value between 0 and 1." sqref="G200:U201 G95:K95 E60:E63" xr:uid="{00000000-0002-0000-0900-000008000000}">
      <formula1>0</formula1>
      <formula2>1</formula2>
    </dataValidation>
    <dataValidation type="list" allowBlank="1" showErrorMessage="1" errorTitle="Invalid entry" error="Select a value from the list." sqref="F69" xr:uid="{00000000-0002-0000-0900-00000C000000}">
      <formula1>L_SDUAF</formula1>
    </dataValidation>
    <dataValidation type="list" allowBlank="1" showErrorMessage="1" errorTitle="Invalid entry" error="Select a value from the list." sqref="G75 H75 I75 J75 K75" xr:uid="{00000000-0002-0000-0900-00000D000000}">
      <formula1>L_Pathway</formula1>
    </dataValidation>
    <dataValidation type="list" allowBlank="1" showErrorMessage="1" errorTitle="Invalid entry" error="Select a value from the list." sqref="G77 H77 I77 J77 K77" xr:uid="{00000000-0002-0000-0900-00000E000000}">
      <formula1>L_Emptied</formula1>
    </dataValidation>
    <dataValidation type="list" allowBlank="1" showErrorMessage="1" errorTitle="Invalid entry" error="Select a value from the list." sqref="G78 H78 I78 J78 K78" xr:uid="{00000000-0002-0000-0900-00000F000000}">
      <formula1>L_Route</formula1>
    </dataValidation>
    <dataValidation type="list" allowBlank="1" showErrorMessage="1" errorTitle="Invalid entry" error="Select a value from the list." sqref="G81 H81 I81 J81 K81" xr:uid="{00000000-0002-0000-0900-000010000000}">
      <formula1>L_UAF</formula1>
    </dataValidation>
    <dataValidation type="list" allowBlank="1" showErrorMessage="1" errorTitle="Invalid entry" error="Select a value from the list." sqref="G86 G87 H86 H87 I86 I87 J86 J87 K86 K87" xr:uid="{00000000-0002-0000-0900-000011000000}">
      <formula1>L_Unit</formula1>
    </dataValidation>
    <dataValidation type="list" allowBlank="1" showErrorMessage="1" errorTitle="Invalid entry" error="Select a value from the list." sqref="G94 H94 I94 J94 K94" xr:uid="{00000000-0002-0000-0900-000012000000}">
      <formula1>L_YesNo</formula1>
    </dataValidation>
    <dataValidation type="list" allowBlank="1" showErrorMessage="1" errorTitle="Invalid entry" error="Select a value from the list." sqref="G101 H101 I101 J101 K101 L101 M101 N101" xr:uid="{00000000-0002-0000-0900-000018000000}">
      <formula1>L_Tier</formula1>
    </dataValidation>
    <dataValidation type="list" allowBlank="1" showErrorMessage="1" errorTitle="Invalid entry" error="Select a value from the list." sqref="G102 H102 I102 J102 K102 L102 M102 N102" xr:uid="{00000000-0002-0000-0900-000019000000}">
      <formula1>L_Material</formula1>
    </dataValidation>
    <dataValidation type="whole" allowBlank="1" showErrorMessage="1" error="Enter a value between 1 and 15." sqref="G108:N108" xr:uid="{00000000-0002-0000-0900-00001A000000}">
      <formula1>1</formula1>
      <formula2>15</formula2>
    </dataValidation>
  </dataValidations>
  <pageMargins left="0.75" right="0.75" top="1" bottom="1" header="0.5" footer="0.5"/>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9BD"/>
    <pageSetUpPr fitToPage="1"/>
  </sheetPr>
  <dimension ref="B1:Y251"/>
  <sheetViews>
    <sheetView showGridLines="0" zoomScale="90" workbookViewId="0">
      <pane xSplit="6" ySplit="3" topLeftCell="G4" activePane="bottomRight" state="frozen"/>
      <selection pane="bottomRight"/>
      <selection pane="bottomLeft"/>
      <selection pane="topRight"/>
    </sheetView>
  </sheetViews>
  <sheetFormatPr defaultRowHeight="15"/>
  <cols>
    <col min="1" max="1" width="2" customWidth="1"/>
    <col min="2" max="2" width="58" customWidth="1"/>
    <col min="3" max="4" width="15" customWidth="1"/>
    <col min="5" max="5" width="24" customWidth="1"/>
    <col min="6" max="6" width="26" customWidth="1"/>
    <col min="7" max="21" width="17" customWidth="1"/>
    <col min="22" max="22" width="13" customWidth="1"/>
    <col min="23" max="24" width="14" customWidth="1"/>
    <col min="25" max="25" width="70" customWidth="1"/>
  </cols>
  <sheetData>
    <row r="1" spans="2:25" ht="30" customHeight="1">
      <c r="B1" s="22" t="s">
        <v>793</v>
      </c>
      <c r="C1" s="22"/>
      <c r="D1" s="22"/>
      <c r="E1" s="22"/>
      <c r="F1" s="22"/>
      <c r="G1" s="22"/>
      <c r="H1" s="22"/>
      <c r="I1" s="22"/>
      <c r="J1" s="22"/>
      <c r="K1" s="22"/>
      <c r="L1" s="22"/>
      <c r="M1" s="22"/>
      <c r="N1" s="22"/>
      <c r="O1" s="22"/>
      <c r="P1" s="22"/>
      <c r="Q1" s="22"/>
      <c r="R1" s="22"/>
      <c r="S1" s="22"/>
      <c r="T1" s="22"/>
      <c r="U1" s="22"/>
      <c r="V1" s="22"/>
      <c r="W1" s="22"/>
      <c r="X1" s="22"/>
      <c r="Y1" s="22"/>
    </row>
    <row r="2" spans="2:25" ht="63.95" customHeight="1">
      <c r="B2" s="93" t="s">
        <v>794</v>
      </c>
      <c r="C2" s="97"/>
      <c r="D2" s="97"/>
      <c r="E2" s="97"/>
      <c r="F2" s="97"/>
      <c r="G2" s="97"/>
      <c r="H2" s="97"/>
      <c r="I2" s="97"/>
      <c r="J2" s="97"/>
      <c r="K2" s="97"/>
      <c r="L2" s="97"/>
      <c r="M2" s="97"/>
      <c r="N2" s="97"/>
      <c r="O2" s="97"/>
      <c r="P2" s="97"/>
      <c r="Q2" s="97"/>
      <c r="R2" s="97"/>
      <c r="S2" s="97"/>
      <c r="T2" s="97"/>
      <c r="U2" s="97"/>
      <c r="V2" s="97"/>
    </row>
    <row r="3" spans="2:25">
      <c r="B3" s="46" t="s">
        <v>351</v>
      </c>
      <c r="C3" s="47" t="s">
        <v>352</v>
      </c>
      <c r="D3" s="48" t="s">
        <v>353</v>
      </c>
      <c r="E3" s="29" t="s">
        <v>354</v>
      </c>
      <c r="F3" s="49" t="s">
        <v>355</v>
      </c>
      <c r="H3" s="94" t="s">
        <v>356</v>
      </c>
      <c r="I3" s="97"/>
      <c r="J3" s="97"/>
      <c r="K3" s="97"/>
      <c r="L3" s="97"/>
      <c r="M3" s="97"/>
      <c r="N3" s="97"/>
      <c r="O3" s="97"/>
      <c r="P3" s="97"/>
      <c r="Q3" s="97"/>
      <c r="R3" s="97"/>
      <c r="S3" s="97"/>
      <c r="T3" s="97"/>
      <c r="U3" s="97"/>
      <c r="V3" s="97"/>
    </row>
    <row r="5" spans="2:25" ht="20.100000000000001" customHeight="1">
      <c r="B5" s="20" t="s">
        <v>357</v>
      </c>
      <c r="C5" s="20"/>
      <c r="D5" s="20"/>
      <c r="E5" s="20"/>
      <c r="F5" s="20"/>
    </row>
    <row r="6" spans="2:25">
      <c r="B6" s="30" t="s">
        <v>358</v>
      </c>
      <c r="C6" s="33"/>
      <c r="D6" s="33" t="s">
        <v>359</v>
      </c>
      <c r="E6" s="33"/>
      <c r="F6" s="31">
        <f>V244</f>
        <v>7323.2194601565407</v>
      </c>
    </row>
    <row r="7" spans="2:25">
      <c r="B7" s="30" t="s">
        <v>360</v>
      </c>
      <c r="C7" s="33"/>
      <c r="D7" s="33" t="s">
        <v>359</v>
      </c>
      <c r="E7" s="33"/>
      <c r="F7" s="31">
        <f>SUMPRODUCT(($G$114:$U$114&lt;=10)*($G$244:$U$244))</f>
        <v>7323.2194601565407</v>
      </c>
    </row>
    <row r="8" spans="2:25">
      <c r="B8" s="27" t="s">
        <v>361</v>
      </c>
      <c r="C8" s="33"/>
      <c r="D8" s="33" t="s">
        <v>359</v>
      </c>
      <c r="E8" s="33"/>
      <c r="F8" s="34">
        <f>IF(SUM($G$117:$U$117)&gt;0,V244/SUM($G$117:$U$117),0)</f>
        <v>915.40243251956758</v>
      </c>
    </row>
    <row r="9" spans="2:25">
      <c r="B9" s="27" t="s">
        <v>362</v>
      </c>
      <c r="C9" s="33"/>
      <c r="D9" s="33" t="s">
        <v>359</v>
      </c>
      <c r="E9" s="33"/>
      <c r="F9" s="34">
        <f>V202</f>
        <v>10106.059175330076</v>
      </c>
    </row>
    <row r="10" spans="2:25">
      <c r="B10" s="27" t="s">
        <v>363</v>
      </c>
      <c r="C10" s="33"/>
      <c r="D10" s="33" t="s">
        <v>359</v>
      </c>
      <c r="E10" s="33"/>
      <c r="F10" s="34">
        <f>V222</f>
        <v>1444.3397151735367</v>
      </c>
    </row>
    <row r="11" spans="2:25">
      <c r="B11" s="27" t="s">
        <v>364</v>
      </c>
      <c r="C11" s="33"/>
      <c r="D11" s="33" t="s">
        <v>359</v>
      </c>
      <c r="E11" s="33"/>
      <c r="F11" s="34">
        <f>V240</f>
        <v>1338.5</v>
      </c>
    </row>
    <row r="12" spans="2:25">
      <c r="B12" s="27" t="s">
        <v>365</v>
      </c>
      <c r="C12" s="33"/>
      <c r="D12" s="33" t="s">
        <v>359</v>
      </c>
      <c r="E12" s="33"/>
      <c r="F12" s="34">
        <f>V203</f>
        <v>335.97352517060438</v>
      </c>
    </row>
    <row r="13" spans="2:25">
      <c r="B13" s="27" t="s">
        <v>297</v>
      </c>
      <c r="C13" s="33"/>
      <c r="D13" s="33" t="s">
        <v>366</v>
      </c>
      <c r="E13" s="33"/>
      <c r="F13" s="48">
        <f>SUMPRODUCT(($G$117:$U$117=1)*($G$243:$U$243&lt;0))</f>
        <v>0</v>
      </c>
    </row>
    <row r="14" spans="2:25">
      <c r="B14" s="27" t="s">
        <v>298</v>
      </c>
      <c r="C14" s="33"/>
      <c r="D14" s="33"/>
      <c r="E14" s="33"/>
      <c r="F14" s="44" t="str">
        <f>IF(SUMPRODUCT((G96:K96&lt;&gt;"")*(G96:K96&lt;&gt;"OK"))+(G64&lt;&gt;"")=0,"No input issues found","Review the flags in Parts B and C")</f>
        <v>No input issues found</v>
      </c>
    </row>
    <row r="16" spans="2:25" ht="20.100000000000001" customHeight="1">
      <c r="B16" s="20" t="s">
        <v>367</v>
      </c>
      <c r="C16" s="20"/>
      <c r="D16" s="20"/>
      <c r="E16" s="20"/>
      <c r="F16" s="20"/>
      <c r="G16" s="20"/>
      <c r="H16" s="20"/>
      <c r="I16" s="20"/>
      <c r="J16" s="20"/>
      <c r="K16" s="20"/>
      <c r="L16" s="20"/>
      <c r="M16" s="20"/>
      <c r="N16" s="20"/>
      <c r="O16" s="20"/>
      <c r="P16" s="20"/>
      <c r="Q16" s="20"/>
      <c r="R16" s="20"/>
      <c r="S16" s="20"/>
      <c r="T16" s="20"/>
      <c r="U16" s="20"/>
      <c r="V16" s="20"/>
      <c r="W16" s="20"/>
      <c r="X16" s="20"/>
      <c r="Y16" s="20"/>
    </row>
    <row r="17" spans="2:22">
      <c r="B17" s="25" t="s">
        <v>368</v>
      </c>
      <c r="C17" s="25" t="s">
        <v>369</v>
      </c>
      <c r="D17" s="25" t="s">
        <v>370</v>
      </c>
      <c r="E17" s="25" t="s">
        <v>371</v>
      </c>
      <c r="F17" s="25" t="s">
        <v>372</v>
      </c>
      <c r="G17" s="25" t="s">
        <v>324</v>
      </c>
      <c r="H17" s="25"/>
      <c r="I17" s="25"/>
      <c r="J17" s="25"/>
      <c r="K17" s="25"/>
      <c r="L17" s="25"/>
      <c r="M17" s="25"/>
      <c r="N17" s="25"/>
      <c r="O17" s="25"/>
      <c r="P17" s="25"/>
      <c r="Q17" s="25"/>
      <c r="R17" s="25"/>
      <c r="S17" s="25"/>
      <c r="T17" s="25"/>
      <c r="U17" s="25"/>
      <c r="V17" s="25"/>
    </row>
    <row r="18" spans="2:22">
      <c r="B18" s="27" t="s">
        <v>287</v>
      </c>
      <c r="C18" s="33"/>
      <c r="D18" s="33"/>
      <c r="E18" s="33" t="s">
        <v>373</v>
      </c>
      <c r="F18" s="51" t="s">
        <v>374</v>
      </c>
      <c r="G18" s="94" t="s">
        <v>375</v>
      </c>
      <c r="H18" s="97"/>
      <c r="I18" s="97"/>
      <c r="J18" s="97"/>
      <c r="K18" s="97"/>
      <c r="L18" s="97"/>
      <c r="M18" s="97"/>
      <c r="N18" s="97"/>
      <c r="O18" s="97"/>
      <c r="P18" s="97"/>
      <c r="Q18" s="97"/>
      <c r="R18" s="97"/>
      <c r="S18" s="97"/>
      <c r="T18" s="97"/>
      <c r="U18" s="97"/>
      <c r="V18" s="97"/>
    </row>
    <row r="19" spans="2:22">
      <c r="B19" s="27" t="s">
        <v>376</v>
      </c>
      <c r="C19" s="33" t="s">
        <v>377</v>
      </c>
      <c r="D19" s="33" t="s">
        <v>378</v>
      </c>
      <c r="E19" s="33" t="s">
        <v>379</v>
      </c>
      <c r="F19" s="36">
        <f>INDEX(Defaults!$D$32:$D$64,MATCH($F$18,Defaults!$B$32:$B$64,0))</f>
        <v>3.6999999999999998E-2</v>
      </c>
      <c r="G19" s="94" t="str">
        <f>"Table 6.4 entry: "&amp;INDEX(Defaults!$C$32:$C$64,MATCH($F$18,Defaults!$B$32:$B$64,0))</f>
        <v>Table 6.4 entry: Africa</v>
      </c>
      <c r="H19" s="97"/>
      <c r="I19" s="97"/>
      <c r="J19" s="97"/>
      <c r="K19" s="97"/>
      <c r="L19" s="97"/>
      <c r="M19" s="97"/>
      <c r="N19" s="97"/>
      <c r="O19" s="97"/>
      <c r="P19" s="97"/>
      <c r="Q19" s="97"/>
      <c r="R19" s="97"/>
      <c r="S19" s="97"/>
      <c r="T19" s="97"/>
      <c r="U19" s="97"/>
      <c r="V19" s="97"/>
    </row>
    <row r="20" spans="2:22">
      <c r="B20" s="27" t="s">
        <v>380</v>
      </c>
      <c r="C20" s="33"/>
      <c r="D20" s="33"/>
      <c r="E20" s="33" t="s">
        <v>381</v>
      </c>
      <c r="F20" s="51" t="s">
        <v>382</v>
      </c>
      <c r="G20" s="94" t="s">
        <v>383</v>
      </c>
      <c r="H20" s="97"/>
      <c r="I20" s="97"/>
      <c r="J20" s="97"/>
      <c r="K20" s="97"/>
      <c r="L20" s="97"/>
      <c r="M20" s="97"/>
      <c r="N20" s="97"/>
      <c r="O20" s="97"/>
      <c r="P20" s="97"/>
      <c r="Q20" s="97"/>
      <c r="R20" s="97"/>
      <c r="S20" s="97"/>
      <c r="T20" s="97"/>
      <c r="U20" s="97"/>
      <c r="V20" s="97"/>
    </row>
    <row r="21" spans="2:22">
      <c r="B21" s="27" t="s">
        <v>384</v>
      </c>
      <c r="C21" s="33"/>
      <c r="D21" s="33" t="s">
        <v>378</v>
      </c>
      <c r="E21" s="33" t="s">
        <v>385</v>
      </c>
      <c r="F21" s="40"/>
      <c r="G21" s="94" t="s">
        <v>386</v>
      </c>
      <c r="H21" s="97"/>
      <c r="I21" s="97"/>
      <c r="J21" s="97"/>
      <c r="K21" s="97"/>
      <c r="L21" s="97"/>
      <c r="M21" s="97"/>
      <c r="N21" s="97"/>
      <c r="O21" s="97"/>
      <c r="P21" s="97"/>
      <c r="Q21" s="97"/>
      <c r="R21" s="97"/>
      <c r="S21" s="97"/>
      <c r="T21" s="97"/>
      <c r="U21" s="97"/>
      <c r="V21" s="97"/>
    </row>
    <row r="22" spans="2:22">
      <c r="B22" s="27" t="s">
        <v>387</v>
      </c>
      <c r="C22" s="33" t="s">
        <v>388</v>
      </c>
      <c r="D22" s="33" t="s">
        <v>378</v>
      </c>
      <c r="E22" s="33" t="s">
        <v>204</v>
      </c>
      <c r="F22" s="45">
        <f>IF(AND($F$20="Substantiated (Section 7.8)",ISNUMBER($F$21)),MIN($F$21,Defaults!$D$11*$F$19),$F$19)</f>
        <v>3.6999999999999998E-2</v>
      </c>
      <c r="G22" s="94" t="str">
        <f>IF(AND($F$20="Substantiated (Section 7.8)",ISNUMBER($F$21),$F$21&gt;Defaults!$D$11*$F$19),"Capped at 150% of the default (Annex A2.2)","")</f>
        <v/>
      </c>
      <c r="H22" s="97"/>
      <c r="I22" s="97"/>
      <c r="J22" s="97"/>
      <c r="K22" s="97"/>
      <c r="L22" s="97"/>
      <c r="M22" s="97"/>
      <c r="N22" s="97"/>
      <c r="O22" s="97"/>
      <c r="P22" s="97"/>
      <c r="Q22" s="97"/>
      <c r="R22" s="97"/>
      <c r="S22" s="97"/>
      <c r="T22" s="97"/>
      <c r="U22" s="97"/>
      <c r="V22" s="97"/>
    </row>
    <row r="23" spans="2:22">
      <c r="B23" s="27" t="s">
        <v>389</v>
      </c>
      <c r="C23" s="33" t="s">
        <v>202</v>
      </c>
      <c r="D23" s="33" t="s">
        <v>390</v>
      </c>
      <c r="E23" s="33" t="s">
        <v>201</v>
      </c>
      <c r="F23" s="52">
        <f>Defaults!$D$8</f>
        <v>0.6</v>
      </c>
      <c r="G23" s="94"/>
      <c r="H23" s="97"/>
      <c r="I23" s="97"/>
      <c r="J23" s="97"/>
      <c r="K23" s="97"/>
      <c r="L23" s="97"/>
      <c r="M23" s="97"/>
      <c r="N23" s="97"/>
      <c r="O23" s="97"/>
      <c r="P23" s="97"/>
      <c r="Q23" s="97"/>
      <c r="R23" s="97"/>
      <c r="S23" s="97"/>
      <c r="T23" s="97"/>
      <c r="U23" s="97"/>
      <c r="V23" s="97"/>
    </row>
    <row r="24" spans="2:22">
      <c r="B24" s="27" t="s">
        <v>391</v>
      </c>
      <c r="C24" s="33" t="s">
        <v>202</v>
      </c>
      <c r="D24" s="33" t="s">
        <v>390</v>
      </c>
      <c r="E24" s="33" t="s">
        <v>392</v>
      </c>
      <c r="F24" s="40"/>
      <c r="G24" s="94" t="s">
        <v>393</v>
      </c>
      <c r="H24" s="97"/>
      <c r="I24" s="97"/>
      <c r="J24" s="97"/>
      <c r="K24" s="97"/>
      <c r="L24" s="97"/>
      <c r="M24" s="97"/>
      <c r="N24" s="97"/>
      <c r="O24" s="97"/>
      <c r="P24" s="97"/>
      <c r="Q24" s="97"/>
      <c r="R24" s="97"/>
      <c r="S24" s="97"/>
      <c r="T24" s="97"/>
      <c r="U24" s="97"/>
      <c r="V24" s="97"/>
    </row>
    <row r="25" spans="2:22">
      <c r="B25" s="27" t="s">
        <v>394</v>
      </c>
      <c r="C25" s="33" t="s">
        <v>202</v>
      </c>
      <c r="D25" s="33" t="s">
        <v>390</v>
      </c>
      <c r="E25" s="33" t="s">
        <v>395</v>
      </c>
      <c r="F25" s="41">
        <f>IF(ISNUMBER($F$24),$F$24,$F$23)</f>
        <v>0.6</v>
      </c>
      <c r="G25" s="94"/>
      <c r="H25" s="97"/>
      <c r="I25" s="97"/>
      <c r="J25" s="97"/>
      <c r="K25" s="97"/>
      <c r="L25" s="97"/>
      <c r="M25" s="97"/>
      <c r="N25" s="97"/>
      <c r="O25" s="97"/>
      <c r="P25" s="97"/>
      <c r="Q25" s="97"/>
      <c r="R25" s="97"/>
      <c r="S25" s="97"/>
      <c r="T25" s="97"/>
      <c r="U25" s="97"/>
      <c r="V25" s="97"/>
    </row>
    <row r="26" spans="2:22">
      <c r="B26" s="27" t="s">
        <v>396</v>
      </c>
      <c r="C26" s="33" t="s">
        <v>397</v>
      </c>
      <c r="D26" s="33" t="s">
        <v>398</v>
      </c>
      <c r="E26" s="33" t="s">
        <v>125</v>
      </c>
      <c r="F26" s="53"/>
      <c r="G26" s="94" t="s">
        <v>399</v>
      </c>
      <c r="H26" s="97"/>
      <c r="I26" s="97"/>
      <c r="J26" s="97"/>
      <c r="K26" s="97"/>
      <c r="L26" s="97"/>
      <c r="M26" s="97"/>
      <c r="N26" s="97"/>
      <c r="O26" s="97"/>
      <c r="P26" s="97"/>
      <c r="Q26" s="97"/>
      <c r="R26" s="97"/>
      <c r="S26" s="97"/>
      <c r="T26" s="97"/>
      <c r="U26" s="97"/>
      <c r="V26" s="97"/>
    </row>
    <row r="27" spans="2:22">
      <c r="B27" s="27" t="s">
        <v>400</v>
      </c>
      <c r="C27" s="33" t="s">
        <v>397</v>
      </c>
      <c r="D27" s="33" t="s">
        <v>398</v>
      </c>
      <c r="E27" s="33" t="s">
        <v>185</v>
      </c>
      <c r="F27" s="54">
        <f>IF(ISNUMBER($F$26),$F$26,Defaults!$D$17)</f>
        <v>0.3</v>
      </c>
      <c r="G27" s="94"/>
      <c r="H27" s="97"/>
      <c r="I27" s="97"/>
      <c r="J27" s="97"/>
      <c r="K27" s="97"/>
      <c r="L27" s="97"/>
      <c r="M27" s="97"/>
      <c r="N27" s="97"/>
      <c r="O27" s="97"/>
      <c r="P27" s="97"/>
      <c r="Q27" s="97"/>
      <c r="R27" s="97"/>
      <c r="S27" s="97"/>
      <c r="T27" s="97"/>
      <c r="U27" s="97"/>
      <c r="V27" s="97"/>
    </row>
    <row r="28" spans="2:22" ht="22.5">
      <c r="B28" s="27" t="s">
        <v>401</v>
      </c>
      <c r="C28" s="33" t="s">
        <v>402</v>
      </c>
      <c r="D28" s="33" t="s">
        <v>398</v>
      </c>
      <c r="E28" s="33" t="s">
        <v>125</v>
      </c>
      <c r="F28" s="53"/>
      <c r="G28" s="94" t="s">
        <v>403</v>
      </c>
      <c r="H28" s="97"/>
      <c r="I28" s="97"/>
      <c r="J28" s="97"/>
      <c r="K28" s="97"/>
      <c r="L28" s="97"/>
      <c r="M28" s="97"/>
      <c r="N28" s="97"/>
      <c r="O28" s="97"/>
      <c r="P28" s="97"/>
      <c r="Q28" s="97"/>
      <c r="R28" s="97"/>
      <c r="S28" s="97"/>
      <c r="T28" s="97"/>
      <c r="U28" s="97"/>
      <c r="V28" s="97"/>
    </row>
    <row r="29" spans="2:22">
      <c r="B29" s="27" t="s">
        <v>404</v>
      </c>
      <c r="C29" s="33" t="s">
        <v>402</v>
      </c>
      <c r="D29" s="33" t="s">
        <v>398</v>
      </c>
      <c r="E29" s="33" t="s">
        <v>185</v>
      </c>
      <c r="F29" s="54">
        <f>IF(ISNUMBER($F$28),$F$28,Defaults!$D$18)</f>
        <v>0.3</v>
      </c>
      <c r="G29" s="94"/>
      <c r="H29" s="97"/>
      <c r="I29" s="97"/>
      <c r="J29" s="97"/>
      <c r="K29" s="97"/>
      <c r="L29" s="97"/>
      <c r="M29" s="97"/>
      <c r="N29" s="97"/>
      <c r="O29" s="97"/>
      <c r="P29" s="97"/>
      <c r="Q29" s="97"/>
      <c r="R29" s="97"/>
      <c r="S29" s="97"/>
      <c r="T29" s="97"/>
      <c r="U29" s="97"/>
      <c r="V29" s="97"/>
    </row>
    <row r="30" spans="2:22">
      <c r="B30" s="27" t="s">
        <v>405</v>
      </c>
      <c r="C30" s="33" t="s">
        <v>406</v>
      </c>
      <c r="D30" s="33" t="s">
        <v>407</v>
      </c>
      <c r="E30" s="33" t="s">
        <v>197</v>
      </c>
      <c r="F30" s="29">
        <f>Defaults!$D$6</f>
        <v>28</v>
      </c>
      <c r="G30" s="94"/>
      <c r="H30" s="97"/>
      <c r="I30" s="97"/>
      <c r="J30" s="97"/>
      <c r="K30" s="97"/>
      <c r="L30" s="97"/>
      <c r="M30" s="97"/>
      <c r="N30" s="97"/>
      <c r="O30" s="97"/>
      <c r="P30" s="97"/>
      <c r="Q30" s="97"/>
      <c r="R30" s="97"/>
      <c r="S30" s="97"/>
      <c r="T30" s="97"/>
      <c r="U30" s="97"/>
      <c r="V30" s="97"/>
    </row>
    <row r="31" spans="2:22">
      <c r="B31" s="27" t="s">
        <v>408</v>
      </c>
      <c r="C31" s="33" t="s">
        <v>409</v>
      </c>
      <c r="D31" s="33" t="s">
        <v>410</v>
      </c>
      <c r="E31" s="33" t="s">
        <v>411</v>
      </c>
      <c r="F31" s="29">
        <f>Defaults!$D$7</f>
        <v>265</v>
      </c>
      <c r="G31" s="94"/>
      <c r="H31" s="97"/>
      <c r="I31" s="97"/>
      <c r="J31" s="97"/>
      <c r="K31" s="97"/>
      <c r="L31" s="97"/>
      <c r="M31" s="97"/>
      <c r="N31" s="97"/>
      <c r="O31" s="97"/>
      <c r="P31" s="97"/>
      <c r="Q31" s="97"/>
      <c r="R31" s="97"/>
      <c r="S31" s="97"/>
      <c r="T31" s="97"/>
      <c r="U31" s="97"/>
      <c r="V31" s="97"/>
    </row>
    <row r="32" spans="2:22">
      <c r="B32" s="27" t="s">
        <v>412</v>
      </c>
      <c r="C32" s="33" t="s">
        <v>413</v>
      </c>
      <c r="D32" s="33" t="s">
        <v>414</v>
      </c>
      <c r="E32" s="33" t="s">
        <v>244</v>
      </c>
      <c r="F32" s="55">
        <f>Defaults!$D$13</f>
        <v>1.8E-3</v>
      </c>
      <c r="G32" s="94"/>
      <c r="H32" s="97"/>
      <c r="I32" s="97"/>
      <c r="J32" s="97"/>
      <c r="K32" s="97"/>
      <c r="L32" s="97"/>
      <c r="M32" s="97"/>
      <c r="N32" s="97"/>
      <c r="O32" s="97"/>
      <c r="P32" s="97"/>
      <c r="Q32" s="97"/>
      <c r="R32" s="97"/>
      <c r="S32" s="97"/>
      <c r="T32" s="97"/>
      <c r="U32" s="97"/>
      <c r="V32" s="97"/>
    </row>
    <row r="33" spans="2:22">
      <c r="B33" s="27" t="s">
        <v>415</v>
      </c>
      <c r="C33" s="33" t="s">
        <v>416</v>
      </c>
      <c r="D33" s="33" t="s">
        <v>398</v>
      </c>
      <c r="E33" s="33" t="s">
        <v>417</v>
      </c>
      <c r="F33" s="52">
        <f>Defaults!$D$12</f>
        <v>0.5</v>
      </c>
      <c r="G33" s="94"/>
      <c r="H33" s="97"/>
      <c r="I33" s="97"/>
      <c r="J33" s="97"/>
      <c r="K33" s="97"/>
      <c r="L33" s="97"/>
      <c r="M33" s="97"/>
      <c r="N33" s="97"/>
      <c r="O33" s="97"/>
      <c r="P33" s="97"/>
      <c r="Q33" s="97"/>
      <c r="R33" s="97"/>
      <c r="S33" s="97"/>
      <c r="T33" s="97"/>
      <c r="U33" s="97"/>
      <c r="V33" s="97"/>
    </row>
    <row r="34" spans="2:22">
      <c r="B34" s="27" t="s">
        <v>418</v>
      </c>
      <c r="C34" s="33"/>
      <c r="D34" s="33" t="s">
        <v>419</v>
      </c>
      <c r="E34" s="33" t="s">
        <v>251</v>
      </c>
      <c r="F34" s="52">
        <f>INDEX(Defaults!$E$32:$E$64,MATCH($F$18,Defaults!$B$32:$B$64,0))</f>
        <v>67.94</v>
      </c>
      <c r="G34" s="94"/>
      <c r="H34" s="97"/>
      <c r="I34" s="97"/>
      <c r="J34" s="97"/>
      <c r="K34" s="97"/>
      <c r="L34" s="97"/>
      <c r="M34" s="97"/>
      <c r="N34" s="97"/>
      <c r="O34" s="97"/>
      <c r="P34" s="97"/>
      <c r="Q34" s="97"/>
      <c r="R34" s="97"/>
      <c r="S34" s="97"/>
      <c r="T34" s="97"/>
      <c r="U34" s="97"/>
      <c r="V34" s="97"/>
    </row>
    <row r="35" spans="2:22">
      <c r="B35" s="27" t="s">
        <v>420</v>
      </c>
      <c r="C35" s="33"/>
      <c r="D35" s="33" t="s">
        <v>419</v>
      </c>
      <c r="E35" s="33" t="s">
        <v>251</v>
      </c>
      <c r="F35" s="38"/>
      <c r="G35" s="94"/>
      <c r="H35" s="97"/>
      <c r="I35" s="97"/>
      <c r="J35" s="97"/>
      <c r="K35" s="97"/>
      <c r="L35" s="97"/>
      <c r="M35" s="97"/>
      <c r="N35" s="97"/>
      <c r="O35" s="97"/>
      <c r="P35" s="97"/>
      <c r="Q35" s="97"/>
      <c r="R35" s="97"/>
      <c r="S35" s="97"/>
      <c r="T35" s="97"/>
      <c r="U35" s="97"/>
      <c r="V35" s="97"/>
    </row>
    <row r="36" spans="2:22">
      <c r="B36" s="27" t="s">
        <v>252</v>
      </c>
      <c r="C36" s="33" t="s">
        <v>421</v>
      </c>
      <c r="D36" s="33" t="s">
        <v>422</v>
      </c>
      <c r="E36" s="33" t="s">
        <v>251</v>
      </c>
      <c r="F36" s="41">
        <f>IF(ISNUMBER($F$35),$F$35,$F$34)*365/1000*Defaults!$D$23</f>
        <v>3.9676959999999997</v>
      </c>
      <c r="G36" s="94" t="s">
        <v>423</v>
      </c>
      <c r="H36" s="97"/>
      <c r="I36" s="97"/>
      <c r="J36" s="97"/>
      <c r="K36" s="97"/>
      <c r="L36" s="97"/>
      <c r="M36" s="97"/>
      <c r="N36" s="97"/>
      <c r="O36" s="97"/>
      <c r="P36" s="97"/>
      <c r="Q36" s="97"/>
      <c r="R36" s="97"/>
      <c r="S36" s="97"/>
      <c r="T36" s="97"/>
      <c r="U36" s="97"/>
      <c r="V36" s="97"/>
    </row>
    <row r="37" spans="2:22">
      <c r="B37" s="27" t="s">
        <v>424</v>
      </c>
      <c r="C37" s="33" t="s">
        <v>233</v>
      </c>
      <c r="D37" s="33" t="s">
        <v>398</v>
      </c>
      <c r="E37" s="33" t="s">
        <v>232</v>
      </c>
      <c r="F37" s="56">
        <f>IF(ISNUMBER(INDEX(Defaults!$F$32:$F$64,MATCH($F$18,Defaults!$B$32:$B$64,0))),INDEX(Defaults!$F$32:$F$64,MATCH($F$18,Defaults!$B$32:$B$64,0)),"not in table")</f>
        <v>2.76E-2</v>
      </c>
      <c r="G37" s="94"/>
      <c r="H37" s="97"/>
      <c r="I37" s="97"/>
      <c r="J37" s="97"/>
      <c r="K37" s="97"/>
      <c r="L37" s="97"/>
      <c r="M37" s="97"/>
      <c r="N37" s="97"/>
      <c r="O37" s="97"/>
      <c r="P37" s="97"/>
      <c r="Q37" s="97"/>
      <c r="R37" s="97"/>
      <c r="S37" s="97"/>
      <c r="T37" s="97"/>
      <c r="U37" s="97"/>
      <c r="V37" s="97"/>
    </row>
    <row r="38" spans="2:22" ht="22.5">
      <c r="B38" s="27" t="s">
        <v>425</v>
      </c>
      <c r="C38" s="33" t="s">
        <v>233</v>
      </c>
      <c r="D38" s="33" t="s">
        <v>398</v>
      </c>
      <c r="E38" s="33" t="s">
        <v>232</v>
      </c>
      <c r="F38" s="57"/>
      <c r="G38" s="94"/>
      <c r="H38" s="97"/>
      <c r="I38" s="97"/>
      <c r="J38" s="97"/>
      <c r="K38" s="97"/>
      <c r="L38" s="97"/>
      <c r="M38" s="97"/>
      <c r="N38" s="97"/>
      <c r="O38" s="97"/>
      <c r="P38" s="97"/>
      <c r="Q38" s="97"/>
      <c r="R38" s="97"/>
      <c r="S38" s="97"/>
      <c r="T38" s="97"/>
      <c r="U38" s="97"/>
      <c r="V38" s="97"/>
    </row>
    <row r="39" spans="2:22">
      <c r="B39" s="27" t="s">
        <v>426</v>
      </c>
      <c r="C39" s="33" t="s">
        <v>233</v>
      </c>
      <c r="D39" s="33" t="s">
        <v>398</v>
      </c>
      <c r="E39" s="33" t="s">
        <v>427</v>
      </c>
      <c r="F39" s="58">
        <f>IF(ISNUMBER($F$37),$F$37,N($F$38))</f>
        <v>2.76E-2</v>
      </c>
      <c r="G39" s="94" t="str">
        <f>IF(AND(NOT(ISNUMBER($F$37)),NOT(ISNUMBER($F$38))),"Enter the MT400-05 value for the host country","")</f>
        <v/>
      </c>
      <c r="H39" s="97"/>
      <c r="I39" s="97"/>
      <c r="J39" s="97"/>
      <c r="K39" s="97"/>
      <c r="L39" s="97"/>
      <c r="M39" s="97"/>
      <c r="N39" s="97"/>
      <c r="O39" s="97"/>
      <c r="P39" s="97"/>
      <c r="Q39" s="97"/>
      <c r="R39" s="97"/>
      <c r="S39" s="97"/>
      <c r="T39" s="97"/>
      <c r="U39" s="97"/>
      <c r="V39" s="97"/>
    </row>
    <row r="40" spans="2:22">
      <c r="B40" s="27" t="s">
        <v>428</v>
      </c>
      <c r="C40" s="33" t="s">
        <v>233</v>
      </c>
      <c r="D40" s="33" t="s">
        <v>398</v>
      </c>
      <c r="E40" s="33" t="s">
        <v>232</v>
      </c>
      <c r="F40" s="57"/>
      <c r="G40" s="94" t="s">
        <v>429</v>
      </c>
      <c r="H40" s="97"/>
      <c r="I40" s="97"/>
      <c r="J40" s="97"/>
      <c r="K40" s="97"/>
      <c r="L40" s="97"/>
      <c r="M40" s="97"/>
      <c r="N40" s="97"/>
      <c r="O40" s="97"/>
      <c r="P40" s="97"/>
      <c r="Q40" s="97"/>
      <c r="R40" s="97"/>
      <c r="S40" s="97"/>
      <c r="T40" s="97"/>
      <c r="U40" s="97"/>
      <c r="V40" s="97"/>
    </row>
    <row r="41" spans="2:22">
      <c r="B41" s="27" t="s">
        <v>430</v>
      </c>
      <c r="C41" s="33" t="s">
        <v>233</v>
      </c>
      <c r="D41" s="33" t="s">
        <v>398</v>
      </c>
      <c r="E41" s="33" t="s">
        <v>232</v>
      </c>
      <c r="F41" s="57"/>
      <c r="G41" s="94"/>
      <c r="H41" s="97"/>
      <c r="I41" s="97"/>
      <c r="J41" s="97"/>
      <c r="K41" s="97"/>
      <c r="L41" s="97"/>
      <c r="M41" s="97"/>
      <c r="N41" s="97"/>
      <c r="O41" s="97"/>
      <c r="P41" s="97"/>
      <c r="Q41" s="97"/>
      <c r="R41" s="97"/>
      <c r="S41" s="97"/>
      <c r="T41" s="97"/>
      <c r="U41" s="97"/>
      <c r="V41" s="97"/>
    </row>
    <row r="42" spans="2:22">
      <c r="B42" s="27" t="s">
        <v>431</v>
      </c>
      <c r="C42" s="33"/>
      <c r="D42" s="33" t="s">
        <v>432</v>
      </c>
      <c r="E42" s="33" t="s">
        <v>433</v>
      </c>
      <c r="F42" s="59">
        <v>46388</v>
      </c>
      <c r="G42" s="94" t="s">
        <v>434</v>
      </c>
      <c r="H42" s="97"/>
      <c r="I42" s="97"/>
      <c r="J42" s="97"/>
      <c r="K42" s="97"/>
      <c r="L42" s="97"/>
      <c r="M42" s="97"/>
      <c r="N42" s="97"/>
      <c r="O42" s="97"/>
      <c r="P42" s="97"/>
      <c r="Q42" s="97"/>
      <c r="R42" s="97"/>
      <c r="S42" s="97"/>
      <c r="T42" s="97"/>
      <c r="U42" s="97"/>
      <c r="V42" s="97"/>
    </row>
    <row r="43" spans="2:22">
      <c r="B43" s="27" t="s">
        <v>435</v>
      </c>
      <c r="C43" s="33"/>
      <c r="D43" s="33" t="s">
        <v>436</v>
      </c>
      <c r="E43" s="33"/>
      <c r="F43" s="60">
        <v>10</v>
      </c>
      <c r="G43" s="94" t="s">
        <v>437</v>
      </c>
      <c r="H43" s="97"/>
      <c r="I43" s="97"/>
      <c r="J43" s="97"/>
      <c r="K43" s="97"/>
      <c r="L43" s="97"/>
      <c r="M43" s="97"/>
      <c r="N43" s="97"/>
      <c r="O43" s="97"/>
      <c r="P43" s="97"/>
      <c r="Q43" s="97"/>
      <c r="R43" s="97"/>
      <c r="S43" s="97"/>
      <c r="T43" s="97"/>
      <c r="U43" s="97"/>
      <c r="V43" s="97"/>
    </row>
    <row r="44" spans="2:22" ht="22.5">
      <c r="B44" s="27" t="s">
        <v>438</v>
      </c>
      <c r="C44" s="33"/>
      <c r="D44" s="33" t="s">
        <v>439</v>
      </c>
      <c r="E44" s="33" t="s">
        <v>178</v>
      </c>
      <c r="F44" s="60">
        <v>8</v>
      </c>
      <c r="G44" s="94" t="s">
        <v>440</v>
      </c>
      <c r="H44" s="97"/>
      <c r="I44" s="97"/>
      <c r="J44" s="97"/>
      <c r="K44" s="97"/>
      <c r="L44" s="97"/>
      <c r="M44" s="97"/>
      <c r="N44" s="97"/>
      <c r="O44" s="97"/>
      <c r="P44" s="97"/>
      <c r="Q44" s="97"/>
      <c r="R44" s="97"/>
      <c r="S44" s="97"/>
      <c r="T44" s="97"/>
      <c r="U44" s="97"/>
      <c r="V44" s="97"/>
    </row>
    <row r="45" spans="2:22" ht="22.5">
      <c r="B45" s="27" t="s">
        <v>441</v>
      </c>
      <c r="C45" s="33"/>
      <c r="D45" s="33"/>
      <c r="E45" s="33" t="s">
        <v>442</v>
      </c>
      <c r="F45" s="51" t="s">
        <v>443</v>
      </c>
      <c r="G45" s="94"/>
      <c r="H45" s="97"/>
      <c r="I45" s="97"/>
      <c r="J45" s="97"/>
      <c r="K45" s="97"/>
      <c r="L45" s="97"/>
      <c r="M45" s="97"/>
      <c r="N45" s="97"/>
      <c r="O45" s="97"/>
      <c r="P45" s="97"/>
      <c r="Q45" s="97"/>
      <c r="R45" s="97"/>
      <c r="S45" s="97"/>
      <c r="T45" s="97"/>
      <c r="U45" s="97"/>
      <c r="V45" s="97"/>
    </row>
    <row r="46" spans="2:22">
      <c r="B46" s="27" t="s">
        <v>444</v>
      </c>
      <c r="C46" s="33" t="s">
        <v>445</v>
      </c>
      <c r="D46" s="33" t="s">
        <v>446</v>
      </c>
      <c r="E46" s="33" t="s">
        <v>447</v>
      </c>
      <c r="F46" s="40"/>
      <c r="G46" s="94"/>
      <c r="H46" s="97"/>
      <c r="I46" s="97"/>
      <c r="J46" s="97"/>
      <c r="K46" s="97"/>
      <c r="L46" s="97"/>
      <c r="M46" s="97"/>
      <c r="N46" s="97"/>
      <c r="O46" s="97"/>
      <c r="P46" s="97"/>
      <c r="Q46" s="97"/>
      <c r="R46" s="97"/>
      <c r="S46" s="97"/>
      <c r="T46" s="97"/>
      <c r="U46" s="97"/>
      <c r="V46" s="97"/>
    </row>
    <row r="47" spans="2:22">
      <c r="B47" s="27" t="s">
        <v>448</v>
      </c>
      <c r="C47" s="33" t="s">
        <v>445</v>
      </c>
      <c r="D47" s="33" t="s">
        <v>446</v>
      </c>
      <c r="E47" s="33" t="s">
        <v>248</v>
      </c>
      <c r="F47" s="41">
        <f>IF($F$45="Default 1.3 tCO2e/MWh (SASS 16)",Defaults!$D$22,N($F$46))</f>
        <v>1.3</v>
      </c>
      <c r="G47" s="94"/>
      <c r="H47" s="97"/>
      <c r="I47" s="97"/>
      <c r="J47" s="97"/>
      <c r="K47" s="97"/>
      <c r="L47" s="97"/>
      <c r="M47" s="97"/>
      <c r="N47" s="97"/>
      <c r="O47" s="97"/>
      <c r="P47" s="97"/>
      <c r="Q47" s="97"/>
      <c r="R47" s="97"/>
      <c r="S47" s="97"/>
      <c r="T47" s="97"/>
      <c r="U47" s="97"/>
      <c r="V47" s="97"/>
    </row>
    <row r="48" spans="2:22">
      <c r="B48" s="27" t="s">
        <v>449</v>
      </c>
      <c r="C48" s="33"/>
      <c r="D48" s="33"/>
      <c r="E48" s="33" t="s">
        <v>155</v>
      </c>
      <c r="F48" s="51" t="s">
        <v>450</v>
      </c>
      <c r="G48" s="94"/>
      <c r="H48" s="97"/>
      <c r="I48" s="97"/>
      <c r="J48" s="97"/>
      <c r="K48" s="97"/>
      <c r="L48" s="97"/>
      <c r="M48" s="97"/>
      <c r="N48" s="97"/>
      <c r="O48" s="97"/>
      <c r="P48" s="97"/>
      <c r="Q48" s="97"/>
      <c r="R48" s="97"/>
      <c r="S48" s="97"/>
      <c r="T48" s="97"/>
      <c r="U48" s="97"/>
      <c r="V48" s="97"/>
    </row>
    <row r="49" spans="2:25">
      <c r="B49" s="27" t="s">
        <v>451</v>
      </c>
      <c r="C49" s="33"/>
      <c r="D49" s="33" t="s">
        <v>452</v>
      </c>
      <c r="E49" s="33" t="s">
        <v>453</v>
      </c>
      <c r="F49" s="36">
        <f>INDEX(Defaults!$F$106:$F$108,MATCH($F$48,Defaults!$B$106:$B$108,0))</f>
        <v>2.7368197999999997</v>
      </c>
      <c r="G49" s="94" t="s">
        <v>454</v>
      </c>
      <c r="H49" s="97"/>
      <c r="I49" s="97"/>
      <c r="J49" s="97"/>
      <c r="K49" s="97"/>
      <c r="L49" s="97"/>
      <c r="M49" s="97"/>
      <c r="N49" s="97"/>
      <c r="O49" s="97"/>
      <c r="P49" s="97"/>
      <c r="Q49" s="97"/>
      <c r="R49" s="97"/>
      <c r="S49" s="97"/>
      <c r="T49" s="97"/>
      <c r="U49" s="97"/>
      <c r="V49" s="97"/>
    </row>
    <row r="50" spans="2:25">
      <c r="B50" s="27" t="s">
        <v>455</v>
      </c>
      <c r="C50" s="33"/>
      <c r="D50" s="33"/>
      <c r="E50" s="33" t="s">
        <v>456</v>
      </c>
      <c r="F50" s="51" t="s">
        <v>731</v>
      </c>
      <c r="G50" s="94" t="s">
        <v>458</v>
      </c>
      <c r="H50" s="97"/>
      <c r="I50" s="97"/>
      <c r="J50" s="97"/>
      <c r="K50" s="97"/>
      <c r="L50" s="97"/>
      <c r="M50" s="97"/>
      <c r="N50" s="97"/>
      <c r="O50" s="97"/>
      <c r="P50" s="97"/>
      <c r="Q50" s="97"/>
      <c r="R50" s="97"/>
      <c r="S50" s="97"/>
      <c r="T50" s="97"/>
      <c r="U50" s="97"/>
      <c r="V50" s="97"/>
    </row>
    <row r="51" spans="2:25">
      <c r="B51" s="27" t="s">
        <v>459</v>
      </c>
      <c r="C51" s="33"/>
      <c r="D51" s="33"/>
      <c r="E51" s="33" t="s">
        <v>456</v>
      </c>
      <c r="F51" s="51" t="s">
        <v>450</v>
      </c>
      <c r="G51" s="94"/>
      <c r="H51" s="97"/>
      <c r="I51" s="97"/>
      <c r="J51" s="97"/>
      <c r="K51" s="97"/>
      <c r="L51" s="97"/>
      <c r="M51" s="97"/>
      <c r="N51" s="97"/>
      <c r="O51" s="97"/>
      <c r="P51" s="97"/>
      <c r="Q51" s="97"/>
      <c r="R51" s="97"/>
      <c r="S51" s="97"/>
      <c r="T51" s="97"/>
      <c r="U51" s="97"/>
      <c r="V51" s="97"/>
    </row>
    <row r="52" spans="2:25">
      <c r="B52" s="27" t="s">
        <v>461</v>
      </c>
      <c r="C52" s="33"/>
      <c r="D52" s="33" t="s">
        <v>452</v>
      </c>
      <c r="E52" s="33" t="s">
        <v>453</v>
      </c>
      <c r="F52" s="36">
        <f>INDEX(Defaults!$F$106:$F$108,MATCH($F$51,Defaults!$B$106:$B$108,0))</f>
        <v>2.7368197999999997</v>
      </c>
      <c r="G52" s="94" t="s">
        <v>462</v>
      </c>
      <c r="H52" s="97"/>
      <c r="I52" s="97"/>
      <c r="J52" s="97"/>
      <c r="K52" s="97"/>
      <c r="L52" s="97"/>
      <c r="M52" s="97"/>
      <c r="N52" s="97"/>
      <c r="O52" s="97"/>
      <c r="P52" s="97"/>
      <c r="Q52" s="97"/>
      <c r="R52" s="97"/>
      <c r="S52" s="97"/>
      <c r="T52" s="97"/>
      <c r="U52" s="97"/>
      <c r="V52" s="97"/>
    </row>
    <row r="53" spans="2:25">
      <c r="B53" s="27" t="s">
        <v>463</v>
      </c>
      <c r="C53" s="33" t="s">
        <v>464</v>
      </c>
      <c r="D53" s="33" t="s">
        <v>465</v>
      </c>
      <c r="E53" s="33" t="s">
        <v>466</v>
      </c>
      <c r="F53" s="39"/>
      <c r="G53" s="94" t="s">
        <v>467</v>
      </c>
      <c r="H53" s="97"/>
      <c r="I53" s="97"/>
      <c r="J53" s="97"/>
      <c r="K53" s="97"/>
      <c r="L53" s="97"/>
      <c r="M53" s="97"/>
      <c r="N53" s="97"/>
      <c r="O53" s="97"/>
      <c r="P53" s="97"/>
      <c r="Q53" s="97"/>
      <c r="R53" s="97"/>
      <c r="S53" s="97"/>
      <c r="T53" s="97"/>
      <c r="U53" s="97"/>
      <c r="V53" s="97"/>
    </row>
    <row r="54" spans="2:25">
      <c r="B54" s="27" t="s">
        <v>468</v>
      </c>
      <c r="C54" s="33" t="s">
        <v>469</v>
      </c>
      <c r="D54" s="33" t="s">
        <v>465</v>
      </c>
      <c r="E54" s="33" t="s">
        <v>466</v>
      </c>
      <c r="F54" s="36">
        <f>Defaults!$D$24</f>
        <v>0.01</v>
      </c>
      <c r="G54" s="94"/>
      <c r="H54" s="97"/>
      <c r="I54" s="97"/>
      <c r="J54" s="97"/>
      <c r="K54" s="97"/>
      <c r="L54" s="97"/>
      <c r="M54" s="97"/>
      <c r="N54" s="97"/>
      <c r="O54" s="97"/>
      <c r="P54" s="97"/>
      <c r="Q54" s="97"/>
      <c r="R54" s="97"/>
      <c r="S54" s="97"/>
      <c r="T54" s="97"/>
      <c r="U54" s="97"/>
      <c r="V54" s="97"/>
    </row>
    <row r="55" spans="2:25">
      <c r="B55" s="27" t="s">
        <v>470</v>
      </c>
      <c r="C55" s="33" t="s">
        <v>471</v>
      </c>
      <c r="D55" s="33" t="s">
        <v>398</v>
      </c>
      <c r="E55" s="33" t="s">
        <v>156</v>
      </c>
      <c r="F55" s="36">
        <f>Defaults!$D$26</f>
        <v>0.11</v>
      </c>
      <c r="G55" s="94"/>
      <c r="H55" s="97"/>
      <c r="I55" s="97"/>
      <c r="J55" s="97"/>
      <c r="K55" s="97"/>
      <c r="L55" s="97"/>
      <c r="M55" s="97"/>
      <c r="N55" s="97"/>
      <c r="O55" s="97"/>
      <c r="P55" s="97"/>
      <c r="Q55" s="97"/>
      <c r="R55" s="97"/>
      <c r="S55" s="97"/>
      <c r="T55" s="97"/>
      <c r="U55" s="97"/>
      <c r="V55" s="97"/>
    </row>
    <row r="56" spans="2:25">
      <c r="B56" s="27" t="s">
        <v>472</v>
      </c>
      <c r="C56" s="33" t="s">
        <v>237</v>
      </c>
      <c r="D56" s="33" t="s">
        <v>398</v>
      </c>
      <c r="E56" s="33" t="s">
        <v>473</v>
      </c>
      <c r="F56" s="52">
        <f>Defaults!$D$16</f>
        <v>0.56999999999999995</v>
      </c>
      <c r="G56" s="94"/>
      <c r="H56" s="97"/>
      <c r="I56" s="97"/>
      <c r="J56" s="97"/>
      <c r="K56" s="97"/>
      <c r="L56" s="97"/>
      <c r="M56" s="97"/>
      <c r="N56" s="97"/>
      <c r="O56" s="97"/>
      <c r="P56" s="97"/>
      <c r="Q56" s="97"/>
      <c r="R56" s="97"/>
      <c r="S56" s="97"/>
      <c r="T56" s="97"/>
      <c r="U56" s="97"/>
      <c r="V56" s="97"/>
    </row>
    <row r="58" spans="2:25" ht="20.100000000000001" customHeight="1">
      <c r="B58" s="20" t="s">
        <v>474</v>
      </c>
      <c r="C58" s="20"/>
      <c r="D58" s="20"/>
      <c r="E58" s="20"/>
      <c r="F58" s="20"/>
      <c r="G58" s="20"/>
      <c r="H58" s="20"/>
      <c r="I58" s="20"/>
      <c r="J58" s="20"/>
      <c r="K58" s="20"/>
      <c r="L58" s="20"/>
      <c r="M58" s="20"/>
      <c r="N58" s="20"/>
      <c r="O58" s="20"/>
      <c r="P58" s="20"/>
      <c r="Q58" s="20"/>
      <c r="R58" s="20"/>
      <c r="S58" s="20"/>
      <c r="T58" s="20"/>
      <c r="U58" s="20"/>
      <c r="V58" s="20"/>
      <c r="W58" s="20"/>
      <c r="X58" s="20"/>
      <c r="Y58" s="20"/>
    </row>
    <row r="59" spans="2:25" ht="30" customHeight="1">
      <c r="B59" s="25" t="s">
        <v>475</v>
      </c>
      <c r="C59" s="26" t="s">
        <v>471</v>
      </c>
      <c r="D59" s="26" t="s">
        <v>476</v>
      </c>
      <c r="E59" s="26" t="s">
        <v>477</v>
      </c>
      <c r="F59" s="26" t="s">
        <v>478</v>
      </c>
      <c r="G59" s="26" t="s">
        <v>479</v>
      </c>
      <c r="H59" s="94" t="s">
        <v>795</v>
      </c>
      <c r="I59" s="97"/>
      <c r="J59" s="97"/>
      <c r="K59" s="97"/>
      <c r="L59" s="97"/>
      <c r="M59" s="97"/>
      <c r="N59" s="97"/>
      <c r="O59" s="97"/>
      <c r="P59" s="97"/>
      <c r="Q59" s="97"/>
      <c r="R59" s="97"/>
      <c r="S59" s="97"/>
      <c r="T59" s="97"/>
      <c r="U59" s="97"/>
      <c r="V59" s="97"/>
    </row>
    <row r="60" spans="2:25">
      <c r="B60" s="27" t="s">
        <v>481</v>
      </c>
      <c r="C60" s="36">
        <f>INDEX(Defaults!$C$69:$C$79,MATCH(B60,Defaults!$B$69:$B$79,0))</f>
        <v>0.1</v>
      </c>
      <c r="D60" s="36">
        <f>IF(ISNUMBER(INDEX(Defaults!$D$69:$D$79,MATCH(B60,Defaults!$B$69:$B$79,0))),INDEX(Defaults!$D$69:$D$79,MATCH(B60,Defaults!$B$69:$B$79,0)),C60)</f>
        <v>0.05</v>
      </c>
      <c r="E60" s="53">
        <v>1</v>
      </c>
      <c r="F60" s="45">
        <f>C60*E60</f>
        <v>0.1</v>
      </c>
      <c r="G60" s="45">
        <f>(C60-D60)*E60</f>
        <v>0.05</v>
      </c>
    </row>
    <row r="61" spans="2:25">
      <c r="B61" s="27" t="s">
        <v>482</v>
      </c>
      <c r="C61" s="36">
        <f>INDEX(Defaults!$C$69:$C$79,MATCH(B61,Defaults!$B$69:$B$79,0))</f>
        <v>0.7</v>
      </c>
      <c r="D61" s="36">
        <f>IF(ISNUMBER(INDEX(Defaults!$D$69:$D$79,MATCH(B61,Defaults!$B$69:$B$79,0))),INDEX(Defaults!$D$69:$D$79,MATCH(B61,Defaults!$B$69:$B$79,0)),C61)</f>
        <v>0.7</v>
      </c>
      <c r="E61" s="53">
        <v>0</v>
      </c>
      <c r="F61" s="45">
        <f>C61*E61</f>
        <v>0</v>
      </c>
      <c r="G61" s="45">
        <f>(C61-D61)*E61</f>
        <v>0</v>
      </c>
    </row>
    <row r="62" spans="2:25">
      <c r="B62" s="27" t="s">
        <v>483</v>
      </c>
      <c r="C62" s="36">
        <f>INDEX(Defaults!$C$69:$C$79,MATCH(B62,Defaults!$B$69:$B$79,0))</f>
        <v>0.55000000000000004</v>
      </c>
      <c r="D62" s="36">
        <f>IF(ISNUMBER(INDEX(Defaults!$D$69:$D$79,MATCH(B62,Defaults!$B$69:$B$79,0))),INDEX(Defaults!$D$69:$D$79,MATCH(B62,Defaults!$B$69:$B$79,0)),C62)</f>
        <v>0.4</v>
      </c>
      <c r="E62" s="53">
        <v>0</v>
      </c>
      <c r="F62" s="45">
        <f>C62*E62</f>
        <v>0</v>
      </c>
      <c r="G62" s="45">
        <f>(C62-D62)*E62</f>
        <v>0</v>
      </c>
    </row>
    <row r="63" spans="2:25">
      <c r="B63" s="27" t="s">
        <v>484</v>
      </c>
      <c r="C63" s="36">
        <f>INDEX(Defaults!$C$69:$C$79,MATCH(B63,Defaults!$B$69:$B$79,0))</f>
        <v>0</v>
      </c>
      <c r="D63" s="36">
        <f>IF(ISNUMBER(INDEX(Defaults!$D$69:$D$79,MATCH(B63,Defaults!$B$69:$B$79,0))),INDEX(Defaults!$D$69:$D$79,MATCH(B63,Defaults!$B$69:$B$79,0)),C63)</f>
        <v>0</v>
      </c>
      <c r="E63" s="53">
        <v>0</v>
      </c>
      <c r="F63" s="45">
        <f>C63*E63</f>
        <v>0</v>
      </c>
      <c r="G63" s="45">
        <f>(C63-D63)*E63</f>
        <v>0</v>
      </c>
    </row>
    <row r="64" spans="2:25">
      <c r="B64" s="27" t="s">
        <v>485</v>
      </c>
      <c r="C64" s="33"/>
      <c r="D64" s="33" t="s">
        <v>398</v>
      </c>
      <c r="E64" s="33"/>
      <c r="F64" s="54">
        <f>SUM(E60:E63)</f>
        <v>1</v>
      </c>
      <c r="G64" s="95" t="str">
        <f>IF(COUNTIF($G$75:$K$75,"Suppressed demand (open defecation or unimproved)")=0,"",IF(ABS(SUM(E60:E63)-1)&gt;0.0001,"Shares must sum to 100%",""))</f>
        <v/>
      </c>
      <c r="H64" s="97"/>
      <c r="I64" s="97"/>
      <c r="J64" s="97"/>
      <c r="K64" s="97"/>
      <c r="L64" s="97"/>
      <c r="M64" s="97"/>
      <c r="N64" s="97"/>
      <c r="O64" s="97"/>
      <c r="P64" s="97"/>
      <c r="Q64" s="97"/>
      <c r="R64" s="97"/>
      <c r="S64" s="97"/>
      <c r="T64" s="97"/>
      <c r="U64" s="97"/>
      <c r="V64" s="97"/>
    </row>
    <row r="65" spans="2:25">
      <c r="B65" s="27" t="s">
        <v>486</v>
      </c>
      <c r="C65" s="33"/>
      <c r="D65" s="33" t="s">
        <v>398</v>
      </c>
      <c r="E65" s="33" t="s">
        <v>487</v>
      </c>
      <c r="F65" s="45">
        <f>SUM(F60:F63)</f>
        <v>0.1</v>
      </c>
      <c r="G65" s="94"/>
      <c r="H65" s="97"/>
      <c r="I65" s="97"/>
      <c r="J65" s="97"/>
      <c r="K65" s="97"/>
      <c r="L65" s="97"/>
      <c r="M65" s="97"/>
      <c r="N65" s="97"/>
      <c r="O65" s="97"/>
      <c r="P65" s="97"/>
      <c r="Q65" s="97"/>
      <c r="R65" s="97"/>
      <c r="S65" s="97"/>
      <c r="T65" s="97"/>
      <c r="U65" s="97"/>
      <c r="V65" s="97"/>
    </row>
    <row r="66" spans="2:25">
      <c r="B66" s="27" t="s">
        <v>488</v>
      </c>
      <c r="C66" s="33"/>
      <c r="D66" s="33" t="s">
        <v>398</v>
      </c>
      <c r="E66" s="33" t="s">
        <v>487</v>
      </c>
      <c r="F66" s="45">
        <f>MIN(Defaults!$D$14,$F$65)</f>
        <v>0.1</v>
      </c>
      <c r="G66" s="94"/>
      <c r="H66" s="97"/>
      <c r="I66" s="97"/>
      <c r="J66" s="97"/>
      <c r="K66" s="97"/>
      <c r="L66" s="97"/>
      <c r="M66" s="97"/>
      <c r="N66" s="97"/>
      <c r="O66" s="97"/>
      <c r="P66" s="97"/>
      <c r="Q66" s="97"/>
      <c r="R66" s="97"/>
      <c r="S66" s="97"/>
      <c r="T66" s="97"/>
      <c r="U66" s="97"/>
      <c r="V66" s="97"/>
    </row>
    <row r="67" spans="2:25">
      <c r="B67" s="27" t="s">
        <v>489</v>
      </c>
      <c r="C67" s="33" t="s">
        <v>490</v>
      </c>
      <c r="D67" s="33" t="s">
        <v>398</v>
      </c>
      <c r="E67" s="33" t="s">
        <v>491</v>
      </c>
      <c r="F67" s="61">
        <f>$F$66*(1-Defaults!$D$15)</f>
        <v>9.5000000000000001E-2</v>
      </c>
      <c r="G67" s="94"/>
      <c r="H67" s="97"/>
      <c r="I67" s="97"/>
      <c r="J67" s="97"/>
      <c r="K67" s="97"/>
      <c r="L67" s="97"/>
      <c r="M67" s="97"/>
      <c r="N67" s="97"/>
      <c r="O67" s="97"/>
      <c r="P67" s="97"/>
      <c r="Q67" s="97"/>
      <c r="R67" s="97"/>
      <c r="S67" s="97"/>
      <c r="T67" s="97"/>
      <c r="U67" s="97"/>
      <c r="V67" s="97"/>
    </row>
    <row r="68" spans="2:25">
      <c r="B68" s="27" t="s">
        <v>492</v>
      </c>
      <c r="C68" s="33" t="s">
        <v>493</v>
      </c>
      <c r="D68" s="33" t="s">
        <v>398</v>
      </c>
      <c r="E68" s="33" t="s">
        <v>185</v>
      </c>
      <c r="F68" s="54">
        <f>IF($F$65&gt;0,SUM(G60:G63)/$F$65,0)</f>
        <v>0.5</v>
      </c>
      <c r="G68" s="94" t="s">
        <v>494</v>
      </c>
      <c r="H68" s="97"/>
      <c r="I68" s="97"/>
      <c r="J68" s="97"/>
      <c r="K68" s="97"/>
      <c r="L68" s="97"/>
      <c r="M68" s="97"/>
      <c r="N68" s="97"/>
      <c r="O68" s="97"/>
      <c r="P68" s="97"/>
      <c r="Q68" s="97"/>
      <c r="R68" s="97"/>
      <c r="S68" s="97"/>
      <c r="T68" s="97"/>
      <c r="U68" s="97"/>
      <c r="V68" s="97"/>
    </row>
    <row r="69" spans="2:25">
      <c r="B69" s="27" t="s">
        <v>495</v>
      </c>
      <c r="C69" s="33"/>
      <c r="D69" s="33"/>
      <c r="E69" s="33" t="s">
        <v>487</v>
      </c>
      <c r="F69" s="51" t="s">
        <v>496</v>
      </c>
      <c r="G69" s="94"/>
      <c r="H69" s="97"/>
      <c r="I69" s="97"/>
      <c r="J69" s="97"/>
      <c r="K69" s="97"/>
      <c r="L69" s="97"/>
      <c r="M69" s="97"/>
      <c r="N69" s="97"/>
      <c r="O69" s="97"/>
      <c r="P69" s="97"/>
      <c r="Q69" s="97"/>
      <c r="R69" s="97"/>
      <c r="S69" s="97"/>
      <c r="T69" s="97"/>
      <c r="U69" s="97"/>
      <c r="V69" s="97"/>
    </row>
    <row r="70" spans="2:25">
      <c r="B70" s="27" t="s">
        <v>497</v>
      </c>
      <c r="C70" s="33" t="s">
        <v>237</v>
      </c>
      <c r="D70" s="33" t="s">
        <v>398</v>
      </c>
      <c r="E70" s="33" t="s">
        <v>185</v>
      </c>
      <c r="F70" s="61">
        <f>IF($F$69="Computed on the mix",1-Defaults!$D$21*SQRT($F$27^2+$F$29^2+$F$68^2),Defaults!$D$16)</f>
        <v>0.57107794612540608</v>
      </c>
      <c r="G70" s="94"/>
      <c r="H70" s="97"/>
      <c r="I70" s="97"/>
      <c r="J70" s="97"/>
      <c r="K70" s="97"/>
      <c r="L70" s="97"/>
      <c r="M70" s="97"/>
      <c r="N70" s="97"/>
      <c r="O70" s="97"/>
      <c r="P70" s="97"/>
      <c r="Q70" s="97"/>
      <c r="R70" s="97"/>
      <c r="S70" s="97"/>
      <c r="T70" s="97"/>
      <c r="U70" s="97"/>
      <c r="V70" s="97"/>
    </row>
    <row r="72" spans="2:25" ht="20.100000000000001" customHeight="1">
      <c r="B72" s="20" t="s">
        <v>498</v>
      </c>
      <c r="C72" s="20"/>
      <c r="D72" s="20"/>
      <c r="E72" s="20"/>
      <c r="F72" s="20"/>
      <c r="G72" s="20"/>
      <c r="H72" s="20"/>
      <c r="I72" s="20"/>
      <c r="J72" s="20"/>
      <c r="K72" s="20"/>
      <c r="L72" s="20"/>
      <c r="M72" s="20"/>
      <c r="N72" s="20"/>
      <c r="O72" s="20"/>
      <c r="P72" s="20"/>
      <c r="Q72" s="20"/>
      <c r="R72" s="20"/>
      <c r="S72" s="20"/>
      <c r="T72" s="20"/>
      <c r="U72" s="20"/>
      <c r="V72" s="20"/>
      <c r="W72" s="20"/>
      <c r="X72" s="20"/>
      <c r="Y72" s="20"/>
    </row>
    <row r="73" spans="2:25">
      <c r="B73" s="25" t="s">
        <v>368</v>
      </c>
      <c r="C73" s="25" t="s">
        <v>369</v>
      </c>
      <c r="D73" s="25" t="s">
        <v>370</v>
      </c>
      <c r="E73" s="25" t="s">
        <v>371</v>
      </c>
      <c r="F73" s="25"/>
      <c r="G73" s="26" t="s">
        <v>499</v>
      </c>
      <c r="H73" s="26" t="s">
        <v>500</v>
      </c>
      <c r="I73" s="26" t="s">
        <v>501</v>
      </c>
      <c r="J73" s="26" t="s">
        <v>502</v>
      </c>
      <c r="K73" s="26" t="s">
        <v>503</v>
      </c>
    </row>
    <row r="74" spans="2:25" ht="54" customHeight="1">
      <c r="B74" s="27" t="s">
        <v>504</v>
      </c>
      <c r="C74" s="33"/>
      <c r="D74" s="33"/>
      <c r="E74" s="33"/>
      <c r="F74" s="33"/>
      <c r="G74" s="51" t="s">
        <v>796</v>
      </c>
      <c r="H74" s="51" t="s">
        <v>797</v>
      </c>
      <c r="I74" s="51" t="s">
        <v>798</v>
      </c>
      <c r="J74" s="51" t="s">
        <v>799</v>
      </c>
      <c r="K74" s="51" t="s">
        <v>800</v>
      </c>
    </row>
    <row r="75" spans="2:25" ht="44.1" customHeight="1">
      <c r="B75" s="27" t="s">
        <v>508</v>
      </c>
      <c r="C75" s="33" t="s">
        <v>509</v>
      </c>
      <c r="D75" s="33"/>
      <c r="E75" s="33" t="s">
        <v>510</v>
      </c>
      <c r="F75" s="33"/>
      <c r="G75" s="51" t="s">
        <v>738</v>
      </c>
      <c r="H75" s="51" t="s">
        <v>738</v>
      </c>
      <c r="I75" s="51" t="s">
        <v>481</v>
      </c>
      <c r="J75" s="51" t="s">
        <v>511</v>
      </c>
      <c r="K75" s="51" t="s">
        <v>483</v>
      </c>
    </row>
    <row r="76" spans="2:25">
      <c r="B76" s="27" t="s">
        <v>513</v>
      </c>
      <c r="C76" s="33"/>
      <c r="D76" s="33" t="s">
        <v>514</v>
      </c>
      <c r="E76" s="33" t="s">
        <v>515</v>
      </c>
      <c r="F76" s="33"/>
      <c r="G76" s="60">
        <v>20</v>
      </c>
      <c r="H76" s="60">
        <v>20</v>
      </c>
      <c r="I76" s="60">
        <v>5</v>
      </c>
      <c r="J76" s="60"/>
      <c r="K76" s="60"/>
    </row>
    <row r="77" spans="2:25" ht="44.1" customHeight="1">
      <c r="B77" s="27" t="s">
        <v>516</v>
      </c>
      <c r="C77" s="33"/>
      <c r="D77" s="33"/>
      <c r="E77" s="33" t="s">
        <v>517</v>
      </c>
      <c r="F77" s="33"/>
      <c r="G77" s="51" t="s">
        <v>518</v>
      </c>
      <c r="H77" s="51" t="s">
        <v>739</v>
      </c>
      <c r="I77" s="51" t="s">
        <v>518</v>
      </c>
      <c r="J77" s="51" t="s">
        <v>518</v>
      </c>
      <c r="K77" s="51" t="s">
        <v>759</v>
      </c>
    </row>
    <row r="78" spans="2:25" ht="44.1" customHeight="1">
      <c r="B78" s="27" t="s">
        <v>519</v>
      </c>
      <c r="C78" s="33"/>
      <c r="D78" s="33"/>
      <c r="E78" s="33" t="s">
        <v>520</v>
      </c>
      <c r="F78" s="33"/>
      <c r="G78" s="51" t="s">
        <v>521</v>
      </c>
      <c r="H78" s="51" t="s">
        <v>521</v>
      </c>
      <c r="I78" s="51" t="s">
        <v>521</v>
      </c>
      <c r="J78" s="51" t="s">
        <v>521</v>
      </c>
      <c r="K78" s="51" t="s">
        <v>521</v>
      </c>
    </row>
    <row r="79" spans="2:25">
      <c r="B79" s="27" t="s">
        <v>522</v>
      </c>
      <c r="C79" s="33" t="s">
        <v>490</v>
      </c>
      <c r="D79" s="33" t="s">
        <v>398</v>
      </c>
      <c r="E79" s="33" t="s">
        <v>125</v>
      </c>
      <c r="F79" s="33"/>
      <c r="G79" s="40"/>
      <c r="H79" s="40"/>
      <c r="I79" s="40"/>
      <c r="J79" s="40"/>
      <c r="K79" s="40"/>
    </row>
    <row r="80" spans="2:25" ht="21">
      <c r="B80" s="27" t="s">
        <v>523</v>
      </c>
      <c r="C80" s="33" t="s">
        <v>490</v>
      </c>
      <c r="D80" s="33" t="s">
        <v>398</v>
      </c>
      <c r="E80" s="33" t="s">
        <v>524</v>
      </c>
      <c r="F80" s="33"/>
      <c r="G80" s="61">
        <f>IF(G75="","",IF(AND(ISNUMBER(G79),G75&lt;&gt;"Suppressed demand (open defecation or unimproved)"),G79,IF(AND(G78&lt;&gt;"",G78&lt;&gt;"Not emptied in the baseline"),INDEX(Defaults!$C$84:$C$87,MATCH(G78,Defaults!$B$84:$B$87,0)),IF(G75="Suppressed demand (open defecation or unimproved)",$F$67,IF(AND(G75="Dry pit latrine, &gt; 5 persons per pit",NOT(AND(ISNUMBER(G76),G76&gt;5))),INDEX(Defaults!$C$69:$C$79,MATCH("Dry pit latrine, ≤ 5 persons per pit",Defaults!$B$69:$B$79,0)),INDEX(Defaults!$C$69:$C$79,MATCH(G75,Defaults!$B$69:$B$79,0)))))))</f>
        <v>0.5</v>
      </c>
      <c r="H80" s="61">
        <f>IF(H75="","",IF(AND(ISNUMBER(H79),H75&lt;&gt;"Suppressed demand (open defecation or unimproved)"),H79,IF(AND(H78&lt;&gt;"",H78&lt;&gt;"Not emptied in the baseline"),INDEX(Defaults!$C$84:$C$87,MATCH(H78,Defaults!$B$84:$B$87,0)),IF(H75="Suppressed demand (open defecation or unimproved)",$F$67,IF(AND(H75="Dry pit latrine, &gt; 5 persons per pit",NOT(AND(ISNUMBER(H76),H76&gt;5))),INDEX(Defaults!$C$69:$C$79,MATCH("Dry pit latrine, ≤ 5 persons per pit",Defaults!$B$69:$B$79,0)),INDEX(Defaults!$C$69:$C$79,MATCH(H75,Defaults!$B$69:$B$79,0)))))))</f>
        <v>0.5</v>
      </c>
      <c r="I80" s="61">
        <f>IF(I75="","",IF(AND(ISNUMBER(I79),I75&lt;&gt;"Suppressed demand (open defecation or unimproved)"),I79,IF(AND(I78&lt;&gt;"",I78&lt;&gt;"Not emptied in the baseline"),INDEX(Defaults!$C$84:$C$87,MATCH(I78,Defaults!$B$84:$B$87,0)),IF(I75="Suppressed demand (open defecation or unimproved)",$F$67,IF(AND(I75="Dry pit latrine, &gt; 5 persons per pit",NOT(AND(ISNUMBER(I76),I76&gt;5))),INDEX(Defaults!$C$69:$C$79,MATCH("Dry pit latrine, ≤ 5 persons per pit",Defaults!$B$69:$B$79,0)),INDEX(Defaults!$C$69:$C$79,MATCH(I75,Defaults!$B$69:$B$79,0)))))))</f>
        <v>0.1</v>
      </c>
      <c r="J80" s="61">
        <f>IF(J75="","",IF(AND(ISNUMBER(J79),J75&lt;&gt;"Suppressed demand (open defecation or unimproved)"),J79,IF(AND(J78&lt;&gt;"",J78&lt;&gt;"Not emptied in the baseline"),INDEX(Defaults!$C$84:$C$87,MATCH(J78,Defaults!$B$84:$B$87,0)),IF(J75="Suppressed demand (open defecation or unimproved)",$F$67,IF(AND(J75="Dry pit latrine, &gt; 5 persons per pit",NOT(AND(ISNUMBER(J76),J76&gt;5))),INDEX(Defaults!$C$69:$C$79,MATCH("Dry pit latrine, ≤ 5 persons per pit",Defaults!$B$69:$B$79,0)),INDEX(Defaults!$C$69:$C$79,MATCH(J75,Defaults!$B$69:$B$79,0)))))))</f>
        <v>9.5000000000000001E-2</v>
      </c>
      <c r="K80" s="61">
        <f>IF(K75="","",IF(AND(ISNUMBER(K79),K75&lt;&gt;"Suppressed demand (open defecation or unimproved)"),K79,IF(AND(K78&lt;&gt;"",K78&lt;&gt;"Not emptied in the baseline"),INDEX(Defaults!$C$84:$C$87,MATCH(K78,Defaults!$B$84:$B$87,0)),IF(K75="Suppressed demand (open defecation or unimproved)",$F$67,IF(AND(K75="Dry pit latrine, &gt; 5 persons per pit",NOT(AND(ISNUMBER(K76),K76&gt;5))),INDEX(Defaults!$C$69:$C$79,MATCH("Dry pit latrine, ≤ 5 persons per pit",Defaults!$B$69:$B$79,0)),INDEX(Defaults!$C$69:$C$79,MATCH(K75,Defaults!$B$69:$B$79,0)))))))</f>
        <v>0.55000000000000004</v>
      </c>
    </row>
    <row r="81" spans="2:11">
      <c r="B81" s="27" t="s">
        <v>525</v>
      </c>
      <c r="C81" s="33"/>
      <c r="D81" s="33"/>
      <c r="E81" s="33" t="s">
        <v>526</v>
      </c>
      <c r="F81" s="33"/>
      <c r="G81" s="51" t="s">
        <v>527</v>
      </c>
      <c r="H81" s="51" t="s">
        <v>527</v>
      </c>
      <c r="I81" s="51" t="s">
        <v>527</v>
      </c>
      <c r="J81" s="51" t="s">
        <v>527</v>
      </c>
      <c r="K81" s="51" t="s">
        <v>527</v>
      </c>
    </row>
    <row r="82" spans="2:11" ht="22.5">
      <c r="B82" s="27" t="s">
        <v>528</v>
      </c>
      <c r="C82" s="33" t="s">
        <v>493</v>
      </c>
      <c r="D82" s="33" t="s">
        <v>398</v>
      </c>
      <c r="E82" s="33" t="s">
        <v>529</v>
      </c>
      <c r="F82" s="33"/>
      <c r="G82" s="53"/>
      <c r="H82" s="53"/>
      <c r="I82" s="53"/>
      <c r="J82" s="53"/>
      <c r="K82" s="53"/>
    </row>
    <row r="83" spans="2:11">
      <c r="B83" s="27" t="s">
        <v>530</v>
      </c>
      <c r="C83" s="33" t="s">
        <v>237</v>
      </c>
      <c r="D83" s="33" t="s">
        <v>398</v>
      </c>
      <c r="E83" s="33" t="s">
        <v>531</v>
      </c>
      <c r="F83" s="33"/>
      <c r="G83" s="61">
        <f>IF(G75="","",IF(G81="Not computed (0.57)",$F$56,IF(AND(G81="From measured uncertainties",ISNUMBER(G82),G75&lt;&gt;"Suppressed demand (open defecation or unimproved)"),1-Defaults!$D$21*SQRT($F$27^2+$F$29^2+G82^2),IF(AND(G78&lt;&gt;"",G78&lt;&gt;"Not emptied in the baseline"),INDEX(Defaults!$D$84:$D$87,MATCH(G78,Defaults!$B$84:$B$87,0)),IF(G75="Suppressed demand (open defecation or unimproved)",$F$70,IF(AND(G75="Dry pit latrine, &gt; 5 persons per pit",NOT(AND(ISNUMBER(G76),G76&gt;5))),INDEX(Defaults!$H$69:$H$79,MATCH("Dry pit latrine, ≤ 5 persons per pit",Defaults!$B$69:$B$79,0)),INDEX(Defaults!$H$69:$H$79,MATCH(G75,Defaults!$B$69:$B$79,0))))))))</f>
        <v>0.69</v>
      </c>
      <c r="H83" s="61">
        <f>IF(H75="","",IF(H81="Not computed (0.57)",$F$56,IF(AND(H81="From measured uncertainties",ISNUMBER(H82),H75&lt;&gt;"Suppressed demand (open defecation or unimproved)"),1-Defaults!$D$21*SQRT($F$27^2+$F$29^2+H82^2),IF(AND(H78&lt;&gt;"",H78&lt;&gt;"Not emptied in the baseline"),INDEX(Defaults!$D$84:$D$87,MATCH(H78,Defaults!$B$84:$B$87,0)),IF(H75="Suppressed demand (open defecation or unimproved)",$F$70,IF(AND(H75="Dry pit latrine, &gt; 5 persons per pit",NOT(AND(ISNUMBER(H76),H76&gt;5))),INDEX(Defaults!$H$69:$H$79,MATCH("Dry pit latrine, ≤ 5 persons per pit",Defaults!$B$69:$B$79,0)),INDEX(Defaults!$H$69:$H$79,MATCH(H75,Defaults!$B$69:$B$79,0))))))))</f>
        <v>0.69</v>
      </c>
      <c r="I83" s="61">
        <f>IF(I75="","",IF(I81="Not computed (0.57)",$F$56,IF(AND(I81="From measured uncertainties",ISNUMBER(I82),I75&lt;&gt;"Suppressed demand (open defecation or unimproved)"),1-Defaults!$D$21*SQRT($F$27^2+$F$29^2+I82^2),IF(AND(I78&lt;&gt;"",I78&lt;&gt;"Not emptied in the baseline"),INDEX(Defaults!$D$84:$D$87,MATCH(I78,Defaults!$B$84:$B$87,0)),IF(I75="Suppressed demand (open defecation or unimproved)",$F$70,IF(AND(I75="Dry pit latrine, &gt; 5 persons per pit",NOT(AND(ISNUMBER(I76),I76&gt;5))),INDEX(Defaults!$H$69:$H$79,MATCH("Dry pit latrine, ≤ 5 persons per pit",Defaults!$B$69:$B$79,0)),INDEX(Defaults!$H$69:$H$79,MATCH(I75,Defaults!$B$69:$B$79,0))))))))</f>
        <v>0.56999999999999995</v>
      </c>
      <c r="J83" s="61">
        <f>IF(J75="","",IF(J81="Not computed (0.57)",$F$56,IF(AND(J81="From measured uncertainties",ISNUMBER(J82),J75&lt;&gt;"Suppressed demand (open defecation or unimproved)"),1-Defaults!$D$21*SQRT($F$27^2+$F$29^2+J82^2),IF(AND(J78&lt;&gt;"",J78&lt;&gt;"Not emptied in the baseline"),INDEX(Defaults!$D$84:$D$87,MATCH(J78,Defaults!$B$84:$B$87,0)),IF(J75="Suppressed demand (open defecation or unimproved)",$F$70,IF(AND(J75="Dry pit latrine, &gt; 5 persons per pit",NOT(AND(ISNUMBER(J76),J76&gt;5))),INDEX(Defaults!$H$69:$H$79,MATCH("Dry pit latrine, ≤ 5 persons per pit",Defaults!$B$69:$B$79,0)),INDEX(Defaults!$H$69:$H$79,MATCH(J75,Defaults!$B$69:$B$79,0))))))))</f>
        <v>0.57107794612540608</v>
      </c>
      <c r="K83" s="61">
        <f>IF(K75="","",IF(K81="Not computed (0.57)",$F$56,IF(AND(K81="From measured uncertainties",ISNUMBER(K82),K75&lt;&gt;"Suppressed demand (open defecation or unimproved)"),1-Defaults!$D$21*SQRT($F$27^2+$F$29^2+K82^2),IF(AND(K78&lt;&gt;"",K78&lt;&gt;"Not emptied in the baseline"),INDEX(Defaults!$D$84:$D$87,MATCH(K78,Defaults!$B$84:$B$87,0)),IF(K75="Suppressed demand (open defecation or unimproved)",$F$70,IF(AND(K75="Dry pit latrine, &gt; 5 persons per pit",NOT(AND(ISNUMBER(K76),K76&gt;5))),INDEX(Defaults!$H$69:$H$79,MATCH("Dry pit latrine, ≤ 5 persons per pit",Defaults!$B$69:$B$79,0)),INDEX(Defaults!$H$69:$H$79,MATCH(K75,Defaults!$B$69:$B$79,0))))))))</f>
        <v>0.67</v>
      </c>
    </row>
    <row r="84" spans="2:11" ht="22.5">
      <c r="B84" s="27" t="s">
        <v>532</v>
      </c>
      <c r="C84" s="33" t="s">
        <v>413</v>
      </c>
      <c r="D84" s="33" t="s">
        <v>414</v>
      </c>
      <c r="E84" s="33" t="s">
        <v>533</v>
      </c>
      <c r="F84" s="33"/>
      <c r="G84" s="39"/>
      <c r="H84" s="39"/>
      <c r="I84" s="39"/>
      <c r="J84" s="39"/>
      <c r="K84" s="39"/>
    </row>
    <row r="85" spans="2:11" ht="22.5">
      <c r="B85" s="27" t="s">
        <v>534</v>
      </c>
      <c r="C85" s="33" t="s">
        <v>535</v>
      </c>
      <c r="D85" s="33" t="s">
        <v>536</v>
      </c>
      <c r="E85" s="33" t="s">
        <v>168</v>
      </c>
      <c r="F85" s="33"/>
      <c r="G85" s="38"/>
      <c r="H85" s="38"/>
      <c r="I85" s="38"/>
      <c r="J85" s="38"/>
      <c r="K85" s="38"/>
    </row>
    <row r="86" spans="2:11" ht="44.1" customHeight="1">
      <c r="B86" s="27" t="s">
        <v>537</v>
      </c>
      <c r="C86" s="33" t="s">
        <v>538</v>
      </c>
      <c r="D86" s="33"/>
      <c r="E86" s="33" t="s">
        <v>539</v>
      </c>
      <c r="F86" s="33"/>
      <c r="G86" s="51" t="s">
        <v>540</v>
      </c>
      <c r="H86" s="51" t="s">
        <v>740</v>
      </c>
      <c r="I86" s="51" t="s">
        <v>540</v>
      </c>
      <c r="J86" s="51" t="s">
        <v>540</v>
      </c>
      <c r="K86" s="51" t="s">
        <v>779</v>
      </c>
    </row>
    <row r="87" spans="2:11" ht="44.1" customHeight="1">
      <c r="B87" s="27" t="s">
        <v>541</v>
      </c>
      <c r="C87" s="33" t="s">
        <v>538</v>
      </c>
      <c r="D87" s="33"/>
      <c r="E87" s="33" t="s">
        <v>539</v>
      </c>
      <c r="F87" s="33"/>
      <c r="G87" s="51" t="s">
        <v>460</v>
      </c>
      <c r="H87" s="51" t="s">
        <v>460</v>
      </c>
      <c r="I87" s="51" t="s">
        <v>460</v>
      </c>
      <c r="J87" s="51" t="s">
        <v>460</v>
      </c>
      <c r="K87" s="51" t="s">
        <v>540</v>
      </c>
    </row>
    <row r="88" spans="2:11">
      <c r="B88" s="27" t="s">
        <v>542</v>
      </c>
      <c r="C88" s="33"/>
      <c r="D88" s="33"/>
      <c r="E88" s="33"/>
      <c r="F88" s="33"/>
      <c r="G88" s="44" t="str">
        <f>IF(G86="","NONE",INDEX(Defaults!$C$91:$C$101,MATCH(G86,Defaults!$B$91:$B$101,0)))</f>
        <v>COMP</v>
      </c>
      <c r="H88" s="44" t="str">
        <f>IF(H86="","NONE",INDEX(Defaults!$C$91:$C$101,MATCH(H86,Defaults!$B$91:$B$101,0)))</f>
        <v>FST</v>
      </c>
      <c r="I88" s="44" t="str">
        <f>IF(I86="","NONE",INDEX(Defaults!$C$91:$C$101,MATCH(I86,Defaults!$B$91:$B$101,0)))</f>
        <v>COMP</v>
      </c>
      <c r="J88" s="44" t="str">
        <f>IF(J86="","NONE",INDEX(Defaults!$C$91:$C$101,MATCH(J86,Defaults!$B$91:$B$101,0)))</f>
        <v>COMP</v>
      </c>
      <c r="K88" s="44" t="str">
        <f>IF(K86="","NONE",INDEX(Defaults!$C$91:$C$101,MATCH(K86,Defaults!$B$91:$B$101,0)))</f>
        <v>NONE</v>
      </c>
    </row>
    <row r="89" spans="2:11">
      <c r="B89" s="27" t="s">
        <v>543</v>
      </c>
      <c r="C89" s="33"/>
      <c r="D89" s="33"/>
      <c r="E89" s="33"/>
      <c r="F89" s="33"/>
      <c r="G89" s="44" t="str">
        <f>IF(G87="","NONE",INDEX(Defaults!$C$91:$C$101,MATCH(G87,Defaults!$B$91:$B$101,0)))</f>
        <v>NONE</v>
      </c>
      <c r="H89" s="44" t="str">
        <f>IF(H87="","NONE",INDEX(Defaults!$C$91:$C$101,MATCH(H87,Defaults!$B$91:$B$101,0)))</f>
        <v>NONE</v>
      </c>
      <c r="I89" s="44" t="str">
        <f>IF(I87="","NONE",INDEX(Defaults!$C$91:$C$101,MATCH(I87,Defaults!$B$91:$B$101,0)))</f>
        <v>NONE</v>
      </c>
      <c r="J89" s="44" t="str">
        <f>IF(J87="","NONE",INDEX(Defaults!$C$91:$C$101,MATCH(J87,Defaults!$B$91:$B$101,0)))</f>
        <v>NONE</v>
      </c>
      <c r="K89" s="44" t="str">
        <f>IF(K87="","NONE",INDEX(Defaults!$C$91:$C$101,MATCH(K87,Defaults!$B$91:$B$101,0)))</f>
        <v>COMP</v>
      </c>
    </row>
    <row r="90" spans="2:11">
      <c r="B90" s="27" t="s">
        <v>544</v>
      </c>
      <c r="C90" s="33" t="s">
        <v>545</v>
      </c>
      <c r="D90" s="33" t="s">
        <v>398</v>
      </c>
      <c r="E90" s="33" t="s">
        <v>546</v>
      </c>
      <c r="F90" s="33"/>
      <c r="G90" s="41">
        <f>IF(G86="",0,INDEX(Defaults!$D$91:$D$101,MATCH(G86,Defaults!$B$91:$B$101,0)))</f>
        <v>0</v>
      </c>
      <c r="H90" s="41">
        <f>IF(H86="",0,INDEX(Defaults!$D$91:$D$101,MATCH(H86,Defaults!$B$91:$B$101,0)))</f>
        <v>0.2</v>
      </c>
      <c r="I90" s="41">
        <f>IF(I86="",0,INDEX(Defaults!$D$91:$D$101,MATCH(I86,Defaults!$B$91:$B$101,0)))</f>
        <v>0</v>
      </c>
      <c r="J90" s="41">
        <f>IF(J86="",0,INDEX(Defaults!$D$91:$D$101,MATCH(J86,Defaults!$B$91:$B$101,0)))</f>
        <v>0</v>
      </c>
      <c r="K90" s="41">
        <f>IF(K86="",0,INDEX(Defaults!$D$91:$D$101,MATCH(K86,Defaults!$B$91:$B$101,0)))</f>
        <v>0</v>
      </c>
    </row>
    <row r="91" spans="2:11">
      <c r="B91" s="27" t="s">
        <v>547</v>
      </c>
      <c r="C91" s="33" t="s">
        <v>545</v>
      </c>
      <c r="D91" s="33" t="s">
        <v>398</v>
      </c>
      <c r="E91" s="33" t="s">
        <v>546</v>
      </c>
      <c r="F91" s="33"/>
      <c r="G91" s="41">
        <f>IF(G87="",0,INDEX(Defaults!$D$91:$D$101,MATCH(G87,Defaults!$B$91:$B$101,0)))</f>
        <v>0</v>
      </c>
      <c r="H91" s="41">
        <f>IF(H87="",0,INDEX(Defaults!$D$91:$D$101,MATCH(H87,Defaults!$B$91:$B$101,0)))</f>
        <v>0</v>
      </c>
      <c r="I91" s="41">
        <f>IF(I87="",0,INDEX(Defaults!$D$91:$D$101,MATCH(I87,Defaults!$B$91:$B$101,0)))</f>
        <v>0</v>
      </c>
      <c r="J91" s="41">
        <f>IF(J87="",0,INDEX(Defaults!$D$91:$D$101,MATCH(J87,Defaults!$B$91:$B$101,0)))</f>
        <v>0</v>
      </c>
      <c r="K91" s="41">
        <f>IF(K87="",0,INDEX(Defaults!$D$91:$D$101,MATCH(K87,Defaults!$B$91:$B$101,0)))</f>
        <v>0</v>
      </c>
    </row>
    <row r="92" spans="2:11">
      <c r="B92" s="27" t="s">
        <v>548</v>
      </c>
      <c r="C92" s="33" t="s">
        <v>464</v>
      </c>
      <c r="D92" s="33" t="s">
        <v>465</v>
      </c>
      <c r="E92" s="33" t="s">
        <v>549</v>
      </c>
      <c r="F92" s="33"/>
      <c r="G92" s="45">
        <f>IF(G86="",0,INDEX(Defaults!$F$91:$F$101,MATCH(G86,Defaults!$B$91:$B$101,0)))</f>
        <v>0</v>
      </c>
      <c r="H92" s="45">
        <f>IF(H86="",0,INDEX(Defaults!$F$91:$F$101,MATCH(H86,Defaults!$B$91:$B$101,0)))</f>
        <v>1.6E-2</v>
      </c>
      <c r="I92" s="45">
        <f>IF(I86="",0,INDEX(Defaults!$F$91:$F$101,MATCH(I86,Defaults!$B$91:$B$101,0)))</f>
        <v>0</v>
      </c>
      <c r="J92" s="45">
        <f>IF(J86="",0,INDEX(Defaults!$F$91:$F$101,MATCH(J86,Defaults!$B$91:$B$101,0)))</f>
        <v>0</v>
      </c>
      <c r="K92" s="45">
        <f>IF(K86="",0,INDEX(Defaults!$F$91:$F$101,MATCH(K86,Defaults!$B$91:$B$101,0)))</f>
        <v>0</v>
      </c>
    </row>
    <row r="93" spans="2:11">
      <c r="B93" s="27" t="s">
        <v>550</v>
      </c>
      <c r="C93" s="33" t="s">
        <v>464</v>
      </c>
      <c r="D93" s="33" t="s">
        <v>465</v>
      </c>
      <c r="E93" s="33" t="s">
        <v>549</v>
      </c>
      <c r="F93" s="33"/>
      <c r="G93" s="45">
        <f>IF(G87="",0,INDEX(Defaults!$F$91:$F$101,MATCH(G87,Defaults!$B$91:$B$101,0)))</f>
        <v>0</v>
      </c>
      <c r="H93" s="45">
        <f>IF(H87="",0,INDEX(Defaults!$F$91:$F$101,MATCH(H87,Defaults!$B$91:$B$101,0)))</f>
        <v>0</v>
      </c>
      <c r="I93" s="45">
        <f>IF(I87="",0,INDEX(Defaults!$F$91:$F$101,MATCH(I87,Defaults!$B$91:$B$101,0)))</f>
        <v>0</v>
      </c>
      <c r="J93" s="45">
        <f>IF(J87="",0,INDEX(Defaults!$F$91:$F$101,MATCH(J87,Defaults!$B$91:$B$101,0)))</f>
        <v>0</v>
      </c>
      <c r="K93" s="45">
        <f>IF(K87="",0,INDEX(Defaults!$F$91:$F$101,MATCH(K87,Defaults!$B$91:$B$101,0)))</f>
        <v>0</v>
      </c>
    </row>
    <row r="94" spans="2:11">
      <c r="B94" s="27" t="s">
        <v>551</v>
      </c>
      <c r="C94" s="33"/>
      <c r="D94" s="33"/>
      <c r="E94" s="33" t="s">
        <v>466</v>
      </c>
      <c r="F94" s="33"/>
      <c r="G94" s="51" t="s">
        <v>552</v>
      </c>
      <c r="H94" s="51" t="s">
        <v>552</v>
      </c>
      <c r="I94" s="51" t="s">
        <v>552</v>
      </c>
      <c r="J94" s="51" t="s">
        <v>552</v>
      </c>
      <c r="K94" s="51" t="s">
        <v>552</v>
      </c>
    </row>
    <row r="95" spans="2:11" ht="44.1" customHeight="1">
      <c r="B95" s="27" t="s">
        <v>553</v>
      </c>
      <c r="C95" s="33"/>
      <c r="D95" s="33" t="s">
        <v>398</v>
      </c>
      <c r="E95" s="33" t="s">
        <v>466</v>
      </c>
      <c r="F95" s="33"/>
      <c r="G95" s="53">
        <v>0</v>
      </c>
      <c r="H95" s="53">
        <v>0</v>
      </c>
      <c r="I95" s="53">
        <v>0</v>
      </c>
      <c r="J95" s="53">
        <v>0</v>
      </c>
      <c r="K95" s="53">
        <v>0</v>
      </c>
    </row>
    <row r="96" spans="2:11" ht="51.95" customHeight="1">
      <c r="B96" s="27" t="s">
        <v>298</v>
      </c>
      <c r="C96" s="33"/>
      <c r="D96" s="33"/>
      <c r="E96" s="33"/>
      <c r="F96" s="33"/>
      <c r="G96" s="62" t="str">
        <f>IF(G75="","",IF((IF(AND(G75="Dry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",""))="","OK",IF(AND(G75="Dry pit latrine, &gt; 5 persons per pit",NOT(AND(ISNUMBER(G76),G76&gt;5))),"Communal value not applied: more than 5 persons per pit not recorded (Section 7.3.4). ","")&amp;IF(AND(G75="Dry pit latrine, ≤ 5 persons per pit",ISNUMBER(G76),N(G76)&gt;5),"More than 5 persons per pit recorded: select the communal category. ","")&amp;IF(AND(G77="Septic tank emptied by the activity",G75&lt;&gt;"Septic tank"),"Septic emptying selected for a pathway that is not a septic tank. ","")&amp;IF(AND(G77="Pit latrine emptied by the activity",ISERROR(SEARCH("pit latrine",G75))),"Pit emptying selected for a pathway that is not a pit latrine. ","")&amp;IF(AND(AND(G78&lt;&gt;"",G78&lt;&gt;"Not emptied in the baseline"),OR(G77="",G77="No: load fully diverted")),"Baseline emptying route set, but the activity does not empty this containment. ","")&amp;IF(AND(G75="Suppressed demand (open defecation or unimproved)",G77&lt;&gt;"",G77&lt;&gt;"No: load fully diverted"),"Suppressed demand: containment emptying does not apply. ","")&amp;IF(AND(G94="Yes",G88&lt;&gt;"AD",G89&lt;&gt;"AD"),"Digestate storage applies only where a unit is anaerobic digestion. ","")&amp;IF(OR(N(G95)&lt;0,N(G95)&gt;1),"Land-disposal share must be between 0 and 1. ","")&amp;IF(AND(OR(G86="",G86="None"),OR(G87="",G87="None")),"No treatment unit selected. ","")&amp;IF(AND(G81="From measured uncertainties",NOT(ISNUMBER(G82)),G75&lt;&gt;"Suppressed demand (open defecation or unimproved)"),"Measured-uncertainty UAF selected without a measured MCF downside: the pathway-specific factor applies. ","")&amp;IF(AND(G75="Suppressed demand (open defecation or unimproved)",OR(ISNUMBER(G79),G81="From measured uncertainties")),"Suppressed demand: the MCF and UAF are set in Part B. ","")&amp;IF(AND(ISNUMBER(G84),G77&lt;&gt;"Pit latrine emptied by the activity"),"Measured organic content applies only to pits emptied by the activity (Section 7.3.6(c)). ","")))</f>
        <v>OK</v>
      </c>
      <c r="H96" s="62" t="str">
        <f>IF(H75="","",IF((IF(AND(H75="Dry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",""))="","OK",IF(AND(H75="Dry pit latrine, &gt; 5 persons per pit",NOT(AND(ISNUMBER(H76),H76&gt;5))),"Communal value not applied: more than 5 persons per pit not recorded (Section 7.3.4). ","")&amp;IF(AND(H75="Dry pit latrine, ≤ 5 persons per pit",ISNUMBER(H76),N(H76)&gt;5),"More than 5 persons per pit recorded: select the communal category. ","")&amp;IF(AND(H77="Septic tank emptied by the activity",H75&lt;&gt;"Septic tank"),"Septic emptying selected for a pathway that is not a septic tank. ","")&amp;IF(AND(H77="Pit latrine emptied by the activity",ISERROR(SEARCH("pit latrine",H75))),"Pit emptying selected for a pathway that is not a pit latrine. ","")&amp;IF(AND(AND(H78&lt;&gt;"",H78&lt;&gt;"Not emptied in the baseline"),OR(H77="",H77="No: load fully diverted")),"Baseline emptying route set, but the activity does not empty this containment. ","")&amp;IF(AND(H75="Suppressed demand (open defecation or unimproved)",H77&lt;&gt;"",H77&lt;&gt;"No: load fully diverted"),"Suppressed demand: containment emptying does not apply. ","")&amp;IF(AND(H94="Yes",H88&lt;&gt;"AD",H89&lt;&gt;"AD"),"Digestate storage applies only where a unit is anaerobic digestion. ","")&amp;IF(OR(N(H95)&lt;0,N(H95)&gt;1),"Land-disposal share must be between 0 and 1. ","")&amp;IF(AND(OR(H86="",H86="None"),OR(H87="",H87="None")),"No treatment unit selected. ","")&amp;IF(AND(H81="From measured uncertainties",NOT(ISNUMBER(H82)),H75&lt;&gt;"Suppressed demand (open defecation or unimproved)"),"Measured-uncertainty UAF selected without a measured MCF downside: the pathway-specific factor applies. ","")&amp;IF(AND(H75="Suppressed demand (open defecation or unimproved)",OR(ISNUMBER(H79),H81="From measured uncertainties")),"Suppressed demand: the MCF and UAF are set in Part B. ","")&amp;IF(AND(ISNUMBER(H84),H77&lt;&gt;"Pit latrine emptied by the activity"),"Measured organic content applies only to pits emptied by the activity (Section 7.3.6(c)). ","")))</f>
        <v>OK</v>
      </c>
      <c r="I96" s="62" t="str">
        <f>IF(I75="","",IF((IF(AND(I75="Dry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",""))="","OK",IF(AND(I75="Dry pit latrine, &gt; 5 persons per pit",NOT(AND(ISNUMBER(I76),I76&gt;5))),"Communal value not applied: more than 5 persons per pit not recorded (Section 7.3.4). ","")&amp;IF(AND(I75="Dry pit latrine, ≤ 5 persons per pit",ISNUMBER(I76),N(I76)&gt;5),"More than 5 persons per pit recorded: select the communal category. ","")&amp;IF(AND(I77="Septic tank emptied by the activity",I75&lt;&gt;"Septic tank"),"Septic emptying selected for a pathway that is not a septic tank. ","")&amp;IF(AND(I77="Pit latrine emptied by the activity",ISERROR(SEARCH("pit latrine",I75))),"Pit emptying selected for a pathway that is not a pit latrine. ","")&amp;IF(AND(AND(I78&lt;&gt;"",I78&lt;&gt;"Not emptied in the baseline"),OR(I77="",I77="No: load fully diverted")),"Baseline emptying route set, but the activity does not empty this containment. ","")&amp;IF(AND(I75="Suppressed demand (open defecation or unimproved)",I77&lt;&gt;"",I77&lt;&gt;"No: load fully diverted"),"Suppressed demand: containment emptying does not apply. ","")&amp;IF(AND(I94="Yes",I88&lt;&gt;"AD",I89&lt;&gt;"AD"),"Digestate storage applies only where a unit is anaerobic digestion. ","")&amp;IF(OR(N(I95)&lt;0,N(I95)&gt;1),"Land-disposal share must be between 0 and 1. ","")&amp;IF(AND(OR(I86="",I86="None"),OR(I87="",I87="None")),"No treatment unit selected. ","")&amp;IF(AND(I81="From measured uncertainties",NOT(ISNUMBER(I82)),I75&lt;&gt;"Suppressed demand (open defecation or unimproved)"),"Measured-uncertainty UAF selected without a measured MCF downside: the pathway-specific factor applies. ","")&amp;IF(AND(I75="Suppressed demand (open defecation or unimproved)",OR(ISNUMBER(I79),I81="From measured uncertainties")),"Suppressed demand: the MCF and UAF are set in Part B. ","")&amp;IF(AND(ISNUMBER(I84),I77&lt;&gt;"Pit latrine emptied by the activity"),"Measured organic content applies only to pits emptied by the activity (Section 7.3.6(c)). ","")))</f>
        <v>OK</v>
      </c>
      <c r="J96" s="62" t="str">
        <f>IF(J75="","",IF((IF(AND(J75="Dry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",""))="","OK",IF(AND(J75="Dry pit latrine, &gt; 5 persons per pit",NOT(AND(ISNUMBER(J76),J76&gt;5))),"Communal value not applied: more than 5 persons per pit not recorded (Section 7.3.4). ","")&amp;IF(AND(J75="Dry pit latrine, ≤ 5 persons per pit",ISNUMBER(J76),N(J76)&gt;5),"More than 5 persons per pit recorded: select the communal category. ","")&amp;IF(AND(J77="Septic tank emptied by the activity",J75&lt;&gt;"Septic tank"),"Septic emptying selected for a pathway that is not a septic tank. ","")&amp;IF(AND(J77="Pit latrine emptied by the activity",ISERROR(SEARCH("pit latrine",J75))),"Pit emptying selected for a pathway that is not a pit latrine. ","")&amp;IF(AND(AND(J78&lt;&gt;"",J78&lt;&gt;"Not emptied in the baseline"),OR(J77="",J77="No: load fully diverted")),"Baseline emptying route set, but the activity does not empty this containment. ","")&amp;IF(AND(J75="Suppressed demand (open defecation or unimproved)",J77&lt;&gt;"",J77&lt;&gt;"No: load fully diverted"),"Suppressed demand: containment emptying does not apply. ","")&amp;IF(AND(J94="Yes",J88&lt;&gt;"AD",J89&lt;&gt;"AD"),"Digestate storage applies only where a unit is anaerobic digestion. ","")&amp;IF(OR(N(J95)&lt;0,N(J95)&gt;1),"Land-disposal share must be between 0 and 1. ","")&amp;IF(AND(OR(J86="",J86="None"),OR(J87="",J87="None")),"No treatment unit selected. ","")&amp;IF(AND(J81="From measured uncertainties",NOT(ISNUMBER(J82)),J75&lt;&gt;"Suppressed demand (open defecation or unimproved)"),"Measured-uncertainty UAF selected without a measured MCF downside: the pathway-specific factor applies. ","")&amp;IF(AND(J75="Suppressed demand (open defecation or unimproved)",OR(ISNUMBER(J79),J81="From measured uncertainties")),"Suppressed demand: the MCF and UAF are set in Part B. ","")&amp;IF(AND(ISNUMBER(J84),J77&lt;&gt;"Pit latrine emptied by the activity"),"Measured organic content applies only to pits emptied by the activity (Section 7.3.6(c)). ","")))</f>
        <v>OK</v>
      </c>
      <c r="K96" s="62" t="str">
        <f>IF(K75="","",IF((IF(AND(K75="Dry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",""))="","OK",IF(AND(K75="Dry pit latrine, &gt; 5 persons per pit",NOT(AND(ISNUMBER(K76),K76&gt;5))),"Communal value not applied: more than 5 persons per pit not recorded (Section 7.3.4). ","")&amp;IF(AND(K75="Dry pit latrine, ≤ 5 persons per pit",ISNUMBER(K76),N(K76)&gt;5),"More than 5 persons per pit recorded: select the communal category. ","")&amp;IF(AND(K77="Septic tank emptied by the activity",K75&lt;&gt;"Septic tank"),"Septic emptying selected for a pathway that is not a septic tank. ","")&amp;IF(AND(K77="Pit latrine emptied by the activity",ISERROR(SEARCH("pit latrine",K75))),"Pit emptying selected for a pathway that is not a pit latrine. ","")&amp;IF(AND(AND(K78&lt;&gt;"",K78&lt;&gt;"Not emptied in the baseline"),OR(K77="",K77="No: load fully diverted")),"Baseline emptying route set, but the activity does not empty this containment. ","")&amp;IF(AND(K75="Suppressed demand (open defecation or unimproved)",K77&lt;&gt;"",K77&lt;&gt;"No: load fully diverted"),"Suppressed demand: containment emptying does not apply. ","")&amp;IF(AND(K94="Yes",K88&lt;&gt;"AD",K89&lt;&gt;"AD"),"Digestate storage applies only where a unit is anaerobic digestion. ","")&amp;IF(OR(N(K95)&lt;0,N(K95)&gt;1),"Land-disposal share must be between 0 and 1. ","")&amp;IF(AND(OR(K86="",K86="None"),OR(K87="",K87="None")),"No treatment unit selected. ","")&amp;IF(AND(K81="From measured uncertainties",NOT(ISNUMBER(K82)),K75&lt;&gt;"Suppressed demand (open defecation or unimproved)"),"Measured-uncertainty UAF selected without a measured MCF downside: the pathway-specific factor applies. ","")&amp;IF(AND(K75="Suppressed demand (open defecation or unimproved)",OR(ISNUMBER(K79),K81="From measured uncertainties")),"Suppressed demand: the MCF and UAF are set in Part B. ","")&amp;IF(AND(ISNUMBER(K84),K77&lt;&gt;"Pit latrine emptied by the activity"),"Measured organic content applies only to pits emptied by the activity (Section 7.3.6(c)). ","")))</f>
        <v>OK</v>
      </c>
    </row>
    <row r="98" spans="2:25" ht="20.100000000000001" customHeight="1">
      <c r="B98" s="20" t="s">
        <v>554</v>
      </c>
      <c r="C98" s="20"/>
      <c r="D98" s="20"/>
      <c r="E98" s="20"/>
      <c r="F98" s="20"/>
      <c r="G98" s="20"/>
      <c r="H98" s="20"/>
      <c r="I98" s="20"/>
      <c r="J98" s="20"/>
      <c r="K98" s="20"/>
      <c r="L98" s="20"/>
      <c r="M98" s="20"/>
      <c r="N98" s="20"/>
      <c r="O98" s="20"/>
      <c r="P98" s="20"/>
      <c r="Q98" s="20"/>
      <c r="R98" s="20"/>
      <c r="S98" s="20"/>
      <c r="T98" s="20"/>
      <c r="U98" s="20"/>
      <c r="V98" s="20"/>
      <c r="W98" s="20"/>
      <c r="X98" s="20"/>
      <c r="Y98" s="20"/>
    </row>
    <row r="99" spans="2:25">
      <c r="B99" s="25" t="s">
        <v>368</v>
      </c>
      <c r="C99" s="25" t="s">
        <v>369</v>
      </c>
      <c r="D99" s="25" t="s">
        <v>370</v>
      </c>
      <c r="E99" s="25" t="s">
        <v>371</v>
      </c>
      <c r="F99" s="25"/>
      <c r="G99" s="26" t="s">
        <v>555</v>
      </c>
      <c r="H99" s="26" t="s">
        <v>556</v>
      </c>
      <c r="I99" s="26" t="s">
        <v>557</v>
      </c>
      <c r="J99" s="26" t="s">
        <v>558</v>
      </c>
      <c r="K99" s="26" t="s">
        <v>559</v>
      </c>
      <c r="L99" s="26" t="s">
        <v>560</v>
      </c>
      <c r="M99" s="26" t="s">
        <v>561</v>
      </c>
      <c r="N99" s="26" t="s">
        <v>562</v>
      </c>
    </row>
    <row r="100" spans="2:25" ht="30" customHeight="1">
      <c r="B100" s="27" t="s">
        <v>563</v>
      </c>
      <c r="C100" s="33"/>
      <c r="D100" s="33"/>
      <c r="E100" s="33"/>
      <c r="F100" s="33"/>
      <c r="G100" s="51" t="s">
        <v>564</v>
      </c>
      <c r="H100" s="51" t="s">
        <v>565</v>
      </c>
      <c r="I100" s="51" t="s">
        <v>801</v>
      </c>
      <c r="J100" s="51" t="s">
        <v>741</v>
      </c>
      <c r="K100" s="51" t="s">
        <v>742</v>
      </c>
      <c r="L100" s="51" t="s">
        <v>784</v>
      </c>
      <c r="M100" s="51" t="s">
        <v>802</v>
      </c>
      <c r="N100" s="51" t="s">
        <v>803</v>
      </c>
    </row>
    <row r="101" spans="2:25">
      <c r="B101" s="27" t="s">
        <v>572</v>
      </c>
      <c r="C101" s="33"/>
      <c r="D101" s="33"/>
      <c r="E101" s="33" t="s">
        <v>573</v>
      </c>
      <c r="F101" s="33"/>
      <c r="G101" s="51" t="s">
        <v>574</v>
      </c>
      <c r="H101" s="51" t="s">
        <v>574</v>
      </c>
      <c r="I101" s="51" t="s">
        <v>575</v>
      </c>
      <c r="J101" s="51" t="s">
        <v>576</v>
      </c>
      <c r="K101" s="51" t="s">
        <v>576</v>
      </c>
      <c r="L101" s="51" t="s">
        <v>576</v>
      </c>
      <c r="M101" s="51" t="s">
        <v>576</v>
      </c>
      <c r="N101" s="51" t="s">
        <v>576</v>
      </c>
    </row>
    <row r="102" spans="2:25" ht="30" customHeight="1">
      <c r="B102" s="27" t="s">
        <v>577</v>
      </c>
      <c r="C102" s="33" t="s">
        <v>578</v>
      </c>
      <c r="D102" s="33"/>
      <c r="E102" s="33" t="s">
        <v>579</v>
      </c>
      <c r="F102" s="33"/>
      <c r="G102" s="51" t="s">
        <v>580</v>
      </c>
      <c r="H102" s="51" t="s">
        <v>580</v>
      </c>
      <c r="I102" s="51" t="s">
        <v>582</v>
      </c>
      <c r="J102" s="51" t="s">
        <v>583</v>
      </c>
      <c r="K102" s="51" t="s">
        <v>583</v>
      </c>
      <c r="L102" s="51" t="s">
        <v>582</v>
      </c>
      <c r="M102" s="51" t="s">
        <v>786</v>
      </c>
      <c r="N102" s="51" t="s">
        <v>582</v>
      </c>
    </row>
    <row r="103" spans="2:25" ht="22.5">
      <c r="B103" s="27" t="s">
        <v>584</v>
      </c>
      <c r="C103" s="33"/>
      <c r="D103" s="33" t="s">
        <v>585</v>
      </c>
      <c r="E103" s="33" t="s">
        <v>586</v>
      </c>
      <c r="F103" s="33"/>
      <c r="G103" s="40"/>
      <c r="H103" s="40"/>
      <c r="I103" s="40"/>
      <c r="J103" s="40"/>
      <c r="K103" s="40"/>
      <c r="L103" s="40"/>
      <c r="M103" s="40"/>
      <c r="N103" s="40"/>
    </row>
    <row r="104" spans="2:25">
      <c r="B104" s="27" t="s">
        <v>587</v>
      </c>
      <c r="C104" s="33" t="s">
        <v>588</v>
      </c>
      <c r="D104" s="33" t="s">
        <v>585</v>
      </c>
      <c r="E104" s="33" t="s">
        <v>586</v>
      </c>
      <c r="F104" s="33"/>
      <c r="G104" s="41">
        <f>IF(G102="","",IF(ISNUMBER(G103),G103,INDEX(Defaults!$D$112:$D$126,MATCH(G102,Defaults!$B$112:$B$126,0))))</f>
        <v>2.5</v>
      </c>
      <c r="H104" s="41">
        <f>IF(H102="","",IF(ISNUMBER(H103),H103,INDEX(Defaults!$D$112:$D$126,MATCH(H102,Defaults!$B$112:$B$126,0))))</f>
        <v>2.5</v>
      </c>
      <c r="I104" s="41">
        <f>IF(I102="","",IF(ISNUMBER(I103),I103,INDEX(Defaults!$D$112:$D$126,MATCH(I102,Defaults!$B$112:$B$126,0))))</f>
        <v>1.6</v>
      </c>
      <c r="J104" s="41">
        <f>IF(J102="","",IF(ISNUMBER(J103),J103,INDEX(Defaults!$D$112:$D$126,MATCH(J102,Defaults!$B$112:$B$126,0))))</f>
        <v>0.18</v>
      </c>
      <c r="K104" s="41">
        <f>IF(K102="","",IF(ISNUMBER(K103),K103,INDEX(Defaults!$D$112:$D$126,MATCH(K102,Defaults!$B$112:$B$126,0))))</f>
        <v>0.18</v>
      </c>
      <c r="L104" s="41">
        <f>IF(L102="","",IF(ISNUMBER(L103),L103,INDEX(Defaults!$D$112:$D$126,MATCH(L102,Defaults!$B$112:$B$126,0))))</f>
        <v>1.6</v>
      </c>
      <c r="M104" s="41">
        <f>IF(M102="","",IF(ISNUMBER(M103),M103,INDEX(Defaults!$D$112:$D$126,MATCH(M102,Defaults!$B$112:$B$126,0))))</f>
        <v>6.1</v>
      </c>
      <c r="N104" s="41">
        <f>IF(N102="","",IF(ISNUMBER(N103),N103,INDEX(Defaults!$D$112:$D$126,MATCH(N102,Defaults!$B$112:$B$126,0))))</f>
        <v>1.6</v>
      </c>
    </row>
    <row r="105" spans="2:25">
      <c r="B105" s="27" t="s">
        <v>589</v>
      </c>
      <c r="C105" s="33" t="s">
        <v>590</v>
      </c>
      <c r="D105" s="33" t="s">
        <v>591</v>
      </c>
      <c r="E105" s="33" t="s">
        <v>260</v>
      </c>
      <c r="F105" s="33"/>
      <c r="G105" s="63">
        <v>10</v>
      </c>
      <c r="H105" s="63">
        <v>10</v>
      </c>
      <c r="I105" s="63">
        <v>300</v>
      </c>
      <c r="J105" s="63">
        <v>500000</v>
      </c>
      <c r="K105" s="63">
        <v>150000</v>
      </c>
      <c r="L105" s="63">
        <v>8000</v>
      </c>
      <c r="M105" s="63">
        <v>3000</v>
      </c>
      <c r="N105" s="63">
        <v>8000</v>
      </c>
    </row>
    <row r="106" spans="2:25">
      <c r="B106" s="27" t="s">
        <v>592</v>
      </c>
      <c r="C106" s="33"/>
      <c r="D106" s="33" t="s">
        <v>593</v>
      </c>
      <c r="E106" s="33"/>
      <c r="F106" s="33"/>
      <c r="G106" s="63">
        <v>4400</v>
      </c>
      <c r="H106" s="63">
        <v>5200</v>
      </c>
      <c r="I106" s="63">
        <v>900</v>
      </c>
      <c r="J106" s="63">
        <v>1</v>
      </c>
      <c r="K106" s="63">
        <v>1</v>
      </c>
      <c r="L106" s="63">
        <v>3</v>
      </c>
      <c r="M106" s="63">
        <v>1</v>
      </c>
      <c r="N106" s="63">
        <v>1</v>
      </c>
    </row>
    <row r="107" spans="2:25">
      <c r="B107" s="27" t="s">
        <v>594</v>
      </c>
      <c r="C107" s="33"/>
      <c r="D107" s="33" t="s">
        <v>359</v>
      </c>
      <c r="E107" s="33" t="s">
        <v>174</v>
      </c>
      <c r="F107" s="33"/>
      <c r="G107" s="34">
        <f t="shared" ref="G107:N107" si="0">IF(OR(G102="",G101=""),0,N(G105)*N(G106)*N(G104)/1000)</f>
        <v>110</v>
      </c>
      <c r="H107" s="34">
        <f t="shared" si="0"/>
        <v>130</v>
      </c>
      <c r="I107" s="34">
        <f t="shared" si="0"/>
        <v>432</v>
      </c>
      <c r="J107" s="34">
        <f t="shared" si="0"/>
        <v>90</v>
      </c>
      <c r="K107" s="34">
        <f t="shared" si="0"/>
        <v>27</v>
      </c>
      <c r="L107" s="34">
        <f t="shared" si="0"/>
        <v>38.4</v>
      </c>
      <c r="M107" s="34">
        <f t="shared" si="0"/>
        <v>18.3</v>
      </c>
      <c r="N107" s="34">
        <f t="shared" si="0"/>
        <v>12.8</v>
      </c>
    </row>
    <row r="108" spans="2:25">
      <c r="B108" s="27" t="s">
        <v>595</v>
      </c>
      <c r="C108" s="33"/>
      <c r="D108" s="33" t="s">
        <v>439</v>
      </c>
      <c r="E108" s="33" t="s">
        <v>174</v>
      </c>
      <c r="F108" s="33"/>
      <c r="G108" s="60">
        <v>1</v>
      </c>
      <c r="H108" s="60">
        <v>2</v>
      </c>
      <c r="I108" s="60">
        <v>1</v>
      </c>
      <c r="J108" s="60">
        <v>1</v>
      </c>
      <c r="K108" s="60">
        <v>1</v>
      </c>
      <c r="L108" s="60">
        <v>1</v>
      </c>
      <c r="M108" s="60">
        <v>1</v>
      </c>
      <c r="N108" s="60">
        <v>6</v>
      </c>
    </row>
    <row r="109" spans="2:25">
      <c r="B109" s="27" t="s">
        <v>596</v>
      </c>
      <c r="C109" s="33"/>
      <c r="D109" s="33" t="s">
        <v>436</v>
      </c>
      <c r="E109" s="33" t="s">
        <v>597</v>
      </c>
      <c r="F109" s="33"/>
      <c r="G109" s="60">
        <v>3</v>
      </c>
      <c r="H109" s="60">
        <v>3</v>
      </c>
      <c r="I109" s="60"/>
      <c r="J109" s="60"/>
      <c r="K109" s="60"/>
      <c r="L109" s="60"/>
      <c r="M109" s="60"/>
      <c r="N109" s="60"/>
    </row>
    <row r="110" spans="2:25">
      <c r="B110" s="27" t="s">
        <v>598</v>
      </c>
      <c r="C110" s="33" t="s">
        <v>599</v>
      </c>
      <c r="D110" s="33" t="s">
        <v>436</v>
      </c>
      <c r="E110" s="33" t="s">
        <v>573</v>
      </c>
      <c r="F110" s="33"/>
      <c r="G110" s="48">
        <f t="shared" ref="G110:N110" si="1">IF(G101="","",IF(G101="Tier 1",1,5))</f>
        <v>1</v>
      </c>
      <c r="H110" s="48">
        <f t="shared" si="1"/>
        <v>1</v>
      </c>
      <c r="I110" s="48">
        <f t="shared" si="1"/>
        <v>5</v>
      </c>
      <c r="J110" s="48">
        <f t="shared" si="1"/>
        <v>5</v>
      </c>
      <c r="K110" s="48">
        <f t="shared" si="1"/>
        <v>5</v>
      </c>
      <c r="L110" s="48">
        <f t="shared" si="1"/>
        <v>5</v>
      </c>
      <c r="M110" s="48">
        <f t="shared" si="1"/>
        <v>5</v>
      </c>
      <c r="N110" s="48">
        <f t="shared" si="1"/>
        <v>5</v>
      </c>
    </row>
    <row r="111" spans="2:25">
      <c r="B111" s="27" t="s">
        <v>600</v>
      </c>
      <c r="C111" s="33"/>
      <c r="D111" s="33" t="s">
        <v>432</v>
      </c>
      <c r="E111" s="33" t="s">
        <v>174</v>
      </c>
      <c r="F111" s="33"/>
      <c r="G111" s="64">
        <f t="shared" ref="G111:N111" si="2">IF(G101="","",IF(N(G108)&lt;=1,$F$42,DATE(YEAR($F$42)+G108-1,1,1)))</f>
        <v>46388</v>
      </c>
      <c r="H111" s="64">
        <f t="shared" si="2"/>
        <v>46753</v>
      </c>
      <c r="I111" s="64">
        <f t="shared" si="2"/>
        <v>46388</v>
      </c>
      <c r="J111" s="64">
        <f t="shared" si="2"/>
        <v>46388</v>
      </c>
      <c r="K111" s="64">
        <f t="shared" si="2"/>
        <v>46388</v>
      </c>
      <c r="L111" s="64">
        <f t="shared" si="2"/>
        <v>46388</v>
      </c>
      <c r="M111" s="64">
        <f t="shared" si="2"/>
        <v>46388</v>
      </c>
      <c r="N111" s="64">
        <f t="shared" si="2"/>
        <v>48214</v>
      </c>
    </row>
    <row r="113" spans="2:25" ht="20.100000000000001" customHeight="1">
      <c r="B113" s="20" t="s">
        <v>601</v>
      </c>
      <c r="C113" s="20"/>
      <c r="D113" s="20"/>
      <c r="E113" s="20"/>
      <c r="F113" s="20"/>
      <c r="G113" s="20"/>
      <c r="H113" s="20"/>
      <c r="I113" s="20"/>
      <c r="J113" s="20"/>
      <c r="K113" s="20"/>
      <c r="L113" s="20"/>
      <c r="M113" s="20"/>
      <c r="N113" s="20"/>
      <c r="O113" s="20"/>
      <c r="P113" s="20"/>
      <c r="Q113" s="20"/>
      <c r="R113" s="20"/>
      <c r="S113" s="20"/>
      <c r="T113" s="20"/>
      <c r="U113" s="20"/>
      <c r="V113" s="20"/>
      <c r="W113" s="20"/>
      <c r="X113" s="20"/>
      <c r="Y113" s="20"/>
    </row>
    <row r="114" spans="2:25">
      <c r="B114" s="65" t="s">
        <v>301</v>
      </c>
      <c r="C114" s="25"/>
      <c r="D114" s="25"/>
      <c r="E114" s="25"/>
      <c r="F114" s="25"/>
      <c r="G114" s="26">
        <v>1</v>
      </c>
      <c r="H114" s="26">
        <f t="shared" ref="H114:U114" si="3">G114+1</f>
        <v>2</v>
      </c>
      <c r="I114" s="26">
        <f t="shared" si="3"/>
        <v>3</v>
      </c>
      <c r="J114" s="26">
        <f t="shared" si="3"/>
        <v>4</v>
      </c>
      <c r="K114" s="26">
        <f t="shared" si="3"/>
        <v>5</v>
      </c>
      <c r="L114" s="26">
        <f t="shared" si="3"/>
        <v>6</v>
      </c>
      <c r="M114" s="26">
        <f t="shared" si="3"/>
        <v>7</v>
      </c>
      <c r="N114" s="26">
        <f t="shared" si="3"/>
        <v>8</v>
      </c>
      <c r="O114" s="26">
        <f t="shared" si="3"/>
        <v>9</v>
      </c>
      <c r="P114" s="26">
        <f t="shared" si="3"/>
        <v>10</v>
      </c>
      <c r="Q114" s="26">
        <f t="shared" si="3"/>
        <v>11</v>
      </c>
      <c r="R114" s="26">
        <f t="shared" si="3"/>
        <v>12</v>
      </c>
      <c r="S114" s="26">
        <f t="shared" si="3"/>
        <v>13</v>
      </c>
      <c r="T114" s="26">
        <f t="shared" si="3"/>
        <v>14</v>
      </c>
      <c r="U114" s="26">
        <f t="shared" si="3"/>
        <v>15</v>
      </c>
      <c r="V114" s="26" t="s">
        <v>602</v>
      </c>
      <c r="Y114" s="25" t="s">
        <v>324</v>
      </c>
    </row>
    <row r="115" spans="2:25">
      <c r="B115" s="27" t="s">
        <v>603</v>
      </c>
      <c r="C115" s="33"/>
      <c r="D115" s="33" t="s">
        <v>439</v>
      </c>
      <c r="E115" s="33"/>
      <c r="F115" s="33"/>
      <c r="G115" s="66">
        <f t="shared" ref="G115:U115" si="4">YEAR($F$42)+G$114-1</f>
        <v>2027</v>
      </c>
      <c r="H115" s="66">
        <f t="shared" si="4"/>
        <v>2028</v>
      </c>
      <c r="I115" s="66">
        <f t="shared" si="4"/>
        <v>2029</v>
      </c>
      <c r="J115" s="66">
        <f t="shared" si="4"/>
        <v>2030</v>
      </c>
      <c r="K115" s="66">
        <f t="shared" si="4"/>
        <v>2031</v>
      </c>
      <c r="L115" s="66">
        <f t="shared" si="4"/>
        <v>2032</v>
      </c>
      <c r="M115" s="66">
        <f t="shared" si="4"/>
        <v>2033</v>
      </c>
      <c r="N115" s="66">
        <f t="shared" si="4"/>
        <v>2034</v>
      </c>
      <c r="O115" s="66">
        <f t="shared" si="4"/>
        <v>2035</v>
      </c>
      <c r="P115" s="66">
        <f t="shared" si="4"/>
        <v>2036</v>
      </c>
      <c r="Q115" s="66">
        <f t="shared" si="4"/>
        <v>2037</v>
      </c>
      <c r="R115" s="66">
        <f t="shared" si="4"/>
        <v>2038</v>
      </c>
      <c r="S115" s="66">
        <f t="shared" si="4"/>
        <v>2039</v>
      </c>
      <c r="T115" s="66">
        <f t="shared" si="4"/>
        <v>2040</v>
      </c>
      <c r="U115" s="66">
        <f t="shared" si="4"/>
        <v>2041</v>
      </c>
      <c r="V115" s="33"/>
    </row>
    <row r="116" spans="2:25">
      <c r="B116" s="27" t="s">
        <v>604</v>
      </c>
      <c r="C116" s="33"/>
      <c r="D116" s="33"/>
      <c r="E116" s="33" t="s">
        <v>605</v>
      </c>
      <c r="F116" s="33"/>
      <c r="G116" s="48">
        <f t="shared" ref="G116:U116" si="5">INT((G$114-1)/5)+1</f>
        <v>1</v>
      </c>
      <c r="H116" s="48">
        <f t="shared" si="5"/>
        <v>1</v>
      </c>
      <c r="I116" s="48">
        <f t="shared" si="5"/>
        <v>1</v>
      </c>
      <c r="J116" s="48">
        <f t="shared" si="5"/>
        <v>1</v>
      </c>
      <c r="K116" s="48">
        <f t="shared" si="5"/>
        <v>1</v>
      </c>
      <c r="L116" s="48">
        <f t="shared" si="5"/>
        <v>2</v>
      </c>
      <c r="M116" s="48">
        <f t="shared" si="5"/>
        <v>2</v>
      </c>
      <c r="N116" s="48">
        <f t="shared" si="5"/>
        <v>2</v>
      </c>
      <c r="O116" s="48">
        <f t="shared" si="5"/>
        <v>2</v>
      </c>
      <c r="P116" s="48">
        <f t="shared" si="5"/>
        <v>2</v>
      </c>
      <c r="Q116" s="48">
        <f t="shared" si="5"/>
        <v>3</v>
      </c>
      <c r="R116" s="48">
        <f t="shared" si="5"/>
        <v>3</v>
      </c>
      <c r="S116" s="48">
        <f t="shared" si="5"/>
        <v>3</v>
      </c>
      <c r="T116" s="48">
        <f t="shared" si="5"/>
        <v>3</v>
      </c>
      <c r="U116" s="48">
        <f t="shared" si="5"/>
        <v>3</v>
      </c>
      <c r="V116" s="33"/>
      <c r="Y116" s="50" t="s">
        <v>606</v>
      </c>
    </row>
    <row r="117" spans="2:25">
      <c r="B117" s="27" t="s">
        <v>607</v>
      </c>
      <c r="C117" s="33"/>
      <c r="D117" s="33"/>
      <c r="E117" s="33"/>
      <c r="F117" s="33"/>
      <c r="G117" s="48">
        <f t="shared" ref="G117:U117" si="6">IF(AND(G$114&lt;=$F$43,OR($F$44=0,G$114&lt;=$F$44)),1,0)</f>
        <v>1</v>
      </c>
      <c r="H117" s="48">
        <f t="shared" si="6"/>
        <v>1</v>
      </c>
      <c r="I117" s="48">
        <f t="shared" si="6"/>
        <v>1</v>
      </c>
      <c r="J117" s="48">
        <f t="shared" si="6"/>
        <v>1</v>
      </c>
      <c r="K117" s="48">
        <f t="shared" si="6"/>
        <v>1</v>
      </c>
      <c r="L117" s="48">
        <f t="shared" si="6"/>
        <v>1</v>
      </c>
      <c r="M117" s="48">
        <f t="shared" si="6"/>
        <v>1</v>
      </c>
      <c r="N117" s="48">
        <f t="shared" si="6"/>
        <v>1</v>
      </c>
      <c r="O117" s="48">
        <f t="shared" si="6"/>
        <v>0</v>
      </c>
      <c r="P117" s="48">
        <f t="shared" si="6"/>
        <v>0</v>
      </c>
      <c r="Q117" s="48">
        <f t="shared" si="6"/>
        <v>0</v>
      </c>
      <c r="R117" s="48">
        <f t="shared" si="6"/>
        <v>0</v>
      </c>
      <c r="S117" s="48">
        <f t="shared" si="6"/>
        <v>0</v>
      </c>
      <c r="T117" s="48">
        <f t="shared" si="6"/>
        <v>0</v>
      </c>
      <c r="U117" s="48">
        <f t="shared" si="6"/>
        <v>0</v>
      </c>
      <c r="V117" s="33"/>
    </row>
    <row r="118" spans="2:25">
      <c r="B118" s="27" t="s">
        <v>608</v>
      </c>
      <c r="C118" s="33"/>
      <c r="D118" s="33" t="s">
        <v>432</v>
      </c>
      <c r="E118" s="33"/>
      <c r="F118" s="33"/>
      <c r="G118" s="64">
        <f t="shared" ref="G118:U118" si="7">IF(G$114=1,$F$42,DATE(G$115,1,1))</f>
        <v>46388</v>
      </c>
      <c r="H118" s="64">
        <f t="shared" si="7"/>
        <v>46753</v>
      </c>
      <c r="I118" s="64">
        <f t="shared" si="7"/>
        <v>47119</v>
      </c>
      <c r="J118" s="64">
        <f t="shared" si="7"/>
        <v>47484</v>
      </c>
      <c r="K118" s="64">
        <f t="shared" si="7"/>
        <v>47849</v>
      </c>
      <c r="L118" s="64">
        <f t="shared" si="7"/>
        <v>48214</v>
      </c>
      <c r="M118" s="64">
        <f t="shared" si="7"/>
        <v>48580</v>
      </c>
      <c r="N118" s="64">
        <f t="shared" si="7"/>
        <v>48945</v>
      </c>
      <c r="O118" s="64">
        <f t="shared" si="7"/>
        <v>49310</v>
      </c>
      <c r="P118" s="64">
        <f t="shared" si="7"/>
        <v>49675</v>
      </c>
      <c r="Q118" s="64">
        <f t="shared" si="7"/>
        <v>50041</v>
      </c>
      <c r="R118" s="64">
        <f t="shared" si="7"/>
        <v>50406</v>
      </c>
      <c r="S118" s="64">
        <f t="shared" si="7"/>
        <v>50771</v>
      </c>
      <c r="T118" s="64">
        <f t="shared" si="7"/>
        <v>51136</v>
      </c>
      <c r="U118" s="64">
        <f t="shared" si="7"/>
        <v>51502</v>
      </c>
      <c r="V118" s="33"/>
    </row>
    <row r="119" spans="2:25">
      <c r="B119" s="27" t="s">
        <v>609</v>
      </c>
      <c r="C119" s="33"/>
      <c r="D119" s="33" t="s">
        <v>432</v>
      </c>
      <c r="E119" s="33"/>
      <c r="F119" s="33"/>
      <c r="G119" s="64">
        <f t="shared" ref="G119:U119" si="8">DATE(G$115,12,31)</f>
        <v>46752</v>
      </c>
      <c r="H119" s="64">
        <f t="shared" si="8"/>
        <v>47118</v>
      </c>
      <c r="I119" s="64">
        <f t="shared" si="8"/>
        <v>47483</v>
      </c>
      <c r="J119" s="64">
        <f t="shared" si="8"/>
        <v>47848</v>
      </c>
      <c r="K119" s="64">
        <f t="shared" si="8"/>
        <v>48213</v>
      </c>
      <c r="L119" s="64">
        <f t="shared" si="8"/>
        <v>48579</v>
      </c>
      <c r="M119" s="64">
        <f t="shared" si="8"/>
        <v>48944</v>
      </c>
      <c r="N119" s="64">
        <f t="shared" si="8"/>
        <v>49309</v>
      </c>
      <c r="O119" s="64">
        <f t="shared" si="8"/>
        <v>49674</v>
      </c>
      <c r="P119" s="64">
        <f t="shared" si="8"/>
        <v>50040</v>
      </c>
      <c r="Q119" s="64">
        <f t="shared" si="8"/>
        <v>50405</v>
      </c>
      <c r="R119" s="64">
        <f t="shared" si="8"/>
        <v>50770</v>
      </c>
      <c r="S119" s="64">
        <f t="shared" si="8"/>
        <v>51135</v>
      </c>
      <c r="T119" s="64">
        <f t="shared" si="8"/>
        <v>51501</v>
      </c>
      <c r="U119" s="64">
        <f t="shared" si="8"/>
        <v>51866</v>
      </c>
      <c r="V119" s="33"/>
    </row>
    <row r="120" spans="2:25">
      <c r="B120" s="27" t="s">
        <v>217</v>
      </c>
      <c r="C120" s="33" t="s">
        <v>610</v>
      </c>
      <c r="D120" s="33" t="s">
        <v>611</v>
      </c>
      <c r="E120" s="33" t="s">
        <v>216</v>
      </c>
      <c r="F120" s="33"/>
      <c r="G120" s="67">
        <f t="shared" ref="G120:U120" si="9">IF(G$117=1,G$119-G$118+1,0)</f>
        <v>365</v>
      </c>
      <c r="H120" s="67">
        <f t="shared" si="9"/>
        <v>366</v>
      </c>
      <c r="I120" s="67">
        <f t="shared" si="9"/>
        <v>365</v>
      </c>
      <c r="J120" s="67">
        <f t="shared" si="9"/>
        <v>365</v>
      </c>
      <c r="K120" s="67">
        <f t="shared" si="9"/>
        <v>365</v>
      </c>
      <c r="L120" s="67">
        <f t="shared" si="9"/>
        <v>366</v>
      </c>
      <c r="M120" s="67">
        <f t="shared" si="9"/>
        <v>365</v>
      </c>
      <c r="N120" s="67">
        <f t="shared" si="9"/>
        <v>365</v>
      </c>
      <c r="O120" s="67">
        <f t="shared" si="9"/>
        <v>0</v>
      </c>
      <c r="P120" s="67">
        <f t="shared" si="9"/>
        <v>0</v>
      </c>
      <c r="Q120" s="67">
        <f t="shared" si="9"/>
        <v>0</v>
      </c>
      <c r="R120" s="67">
        <f t="shared" si="9"/>
        <v>0</v>
      </c>
      <c r="S120" s="67">
        <f t="shared" si="9"/>
        <v>0</v>
      </c>
      <c r="T120" s="67">
        <f t="shared" si="9"/>
        <v>0</v>
      </c>
      <c r="U120" s="67">
        <f t="shared" si="9"/>
        <v>0</v>
      </c>
      <c r="V120" s="67">
        <f>SUMPRODUCT($G$117:$U$117,G120:U120)</f>
        <v>2922</v>
      </c>
    </row>
    <row r="121" spans="2:25">
      <c r="B121" s="27" t="s">
        <v>612</v>
      </c>
      <c r="C121" s="33" t="s">
        <v>233</v>
      </c>
      <c r="D121" s="33" t="s">
        <v>398</v>
      </c>
      <c r="E121" s="33" t="s">
        <v>232</v>
      </c>
      <c r="F121" s="33"/>
      <c r="G121" s="58">
        <f t="shared" ref="G121:U121" si="10">IF(G$117=0,0,IF(G$115&lt;=2030,$F$39,IF(G$115&lt;=2035,IF(ISNUMBER($F$40),$F$40,$F$39),IF(ISNUMBER($F$41),$F$41,IF(ISNUMBER($F$40),$F$40,$F$39)))))</f>
        <v>2.76E-2</v>
      </c>
      <c r="H121" s="58">
        <f t="shared" si="10"/>
        <v>2.76E-2</v>
      </c>
      <c r="I121" s="58">
        <f t="shared" si="10"/>
        <v>2.76E-2</v>
      </c>
      <c r="J121" s="58">
        <f t="shared" si="10"/>
        <v>2.76E-2</v>
      </c>
      <c r="K121" s="58">
        <f t="shared" si="10"/>
        <v>2.76E-2</v>
      </c>
      <c r="L121" s="58">
        <f t="shared" si="10"/>
        <v>2.76E-2</v>
      </c>
      <c r="M121" s="58">
        <f t="shared" si="10"/>
        <v>2.76E-2</v>
      </c>
      <c r="N121" s="58">
        <f t="shared" si="10"/>
        <v>2.76E-2</v>
      </c>
      <c r="O121" s="58">
        <f t="shared" si="10"/>
        <v>0</v>
      </c>
      <c r="P121" s="58">
        <f t="shared" si="10"/>
        <v>0</v>
      </c>
      <c r="Q121" s="58">
        <f t="shared" si="10"/>
        <v>0</v>
      </c>
      <c r="R121" s="58">
        <f t="shared" si="10"/>
        <v>0</v>
      </c>
      <c r="S121" s="58">
        <f t="shared" si="10"/>
        <v>0</v>
      </c>
      <c r="T121" s="58">
        <f t="shared" si="10"/>
        <v>0</v>
      </c>
      <c r="U121" s="58">
        <f t="shared" si="10"/>
        <v>0</v>
      </c>
      <c r="V121" s="33"/>
    </row>
    <row r="122" spans="2:25" ht="36" customHeight="1">
      <c r="B122" s="27" t="s">
        <v>613</v>
      </c>
      <c r="C122" s="33"/>
      <c r="D122" s="33"/>
      <c r="E122" s="33" t="s">
        <v>234</v>
      </c>
      <c r="F122" s="33"/>
      <c r="G122" s="44" t="str">
        <f t="shared" ref="G122:U122" si="11">IF(G$117=0,"",IF(G$115&lt;=2030,"MT400-05, 2026–2030",IF(AND(G$115&lt;=2035,ISNUMBER($F$40)),"MT400-05, 2031–2035",IF(AND(G$115&gt;2035,ISNUMBER($F$41)),"MT400-05, 2036–2040","Carried forward: replace when published"))))</f>
        <v>MT400-05, 2026–2030</v>
      </c>
      <c r="H122" s="44" t="str">
        <f t="shared" si="11"/>
        <v>MT400-05, 2026–2030</v>
      </c>
      <c r="I122" s="44" t="str">
        <f t="shared" si="11"/>
        <v>MT400-05, 2026–2030</v>
      </c>
      <c r="J122" s="44" t="str">
        <f t="shared" si="11"/>
        <v>MT400-05, 2026–2030</v>
      </c>
      <c r="K122" s="44" t="str">
        <f t="shared" si="11"/>
        <v>Carried forward: replace when published</v>
      </c>
      <c r="L122" s="44" t="str">
        <f t="shared" si="11"/>
        <v>Carried forward: replace when published</v>
      </c>
      <c r="M122" s="44" t="str">
        <f t="shared" si="11"/>
        <v>Carried forward: replace when published</v>
      </c>
      <c r="N122" s="44" t="str">
        <f t="shared" si="11"/>
        <v>Carried forward: replace when published</v>
      </c>
      <c r="O122" s="44" t="str">
        <f t="shared" si="11"/>
        <v/>
      </c>
      <c r="P122" s="44" t="str">
        <f t="shared" si="11"/>
        <v/>
      </c>
      <c r="Q122" s="44" t="str">
        <f t="shared" si="11"/>
        <v/>
      </c>
      <c r="R122" s="44" t="str">
        <f t="shared" si="11"/>
        <v/>
      </c>
      <c r="S122" s="44" t="str">
        <f t="shared" si="11"/>
        <v/>
      </c>
      <c r="T122" s="44" t="str">
        <f t="shared" si="11"/>
        <v/>
      </c>
      <c r="U122" s="44" t="str">
        <f t="shared" si="11"/>
        <v/>
      </c>
      <c r="V122" s="33"/>
    </row>
    <row r="123" spans="2:25" ht="22.5">
      <c r="B123" s="25" t="str">
        <f>"Stratum 1: "&amp;IF(G$74="","not used",G$74)</f>
        <v>Stratum 1: Camp: communal pit latrines (20 persons per pit) decommissioned; CBS</v>
      </c>
      <c r="C123" s="25"/>
      <c r="D123" s="25"/>
      <c r="E123" s="25"/>
      <c r="F123" s="25"/>
      <c r="G123" s="26">
        <f t="shared" ref="G123:U123" si="12">G$114</f>
        <v>1</v>
      </c>
      <c r="H123" s="26">
        <f t="shared" si="12"/>
        <v>2</v>
      </c>
      <c r="I123" s="26">
        <f t="shared" si="12"/>
        <v>3</v>
      </c>
      <c r="J123" s="26">
        <f t="shared" si="12"/>
        <v>4</v>
      </c>
      <c r="K123" s="26">
        <f t="shared" si="12"/>
        <v>5</v>
      </c>
      <c r="L123" s="26">
        <f t="shared" si="12"/>
        <v>6</v>
      </c>
      <c r="M123" s="26">
        <f t="shared" si="12"/>
        <v>7</v>
      </c>
      <c r="N123" s="26">
        <f t="shared" si="12"/>
        <v>8</v>
      </c>
      <c r="O123" s="26">
        <f t="shared" si="12"/>
        <v>9</v>
      </c>
      <c r="P123" s="26">
        <f t="shared" si="12"/>
        <v>10</v>
      </c>
      <c r="Q123" s="26">
        <f t="shared" si="12"/>
        <v>11</v>
      </c>
      <c r="R123" s="26">
        <f t="shared" si="12"/>
        <v>12</v>
      </c>
      <c r="S123" s="26">
        <f t="shared" si="12"/>
        <v>13</v>
      </c>
      <c r="T123" s="26">
        <f t="shared" si="12"/>
        <v>14</v>
      </c>
      <c r="U123" s="26">
        <f t="shared" si="12"/>
        <v>15</v>
      </c>
      <c r="V123" s="26" t="s">
        <v>602</v>
      </c>
      <c r="Y123" s="25"/>
    </row>
    <row r="124" spans="2:25">
      <c r="B124" s="27" t="s">
        <v>614</v>
      </c>
      <c r="C124" s="33" t="s">
        <v>615</v>
      </c>
      <c r="D124" s="33" t="s">
        <v>514</v>
      </c>
      <c r="E124" s="33" t="s">
        <v>212</v>
      </c>
      <c r="F124" s="33"/>
      <c r="G124" s="63">
        <v>8000</v>
      </c>
      <c r="H124" s="63">
        <v>14000</v>
      </c>
      <c r="I124" s="63">
        <v>18000</v>
      </c>
      <c r="J124" s="63">
        <v>18000</v>
      </c>
      <c r="K124" s="63">
        <v>18000</v>
      </c>
      <c r="L124" s="63">
        <v>17000</v>
      </c>
      <c r="M124" s="63">
        <v>16000</v>
      </c>
      <c r="N124" s="63">
        <v>16000</v>
      </c>
      <c r="O124" s="63">
        <v>16000</v>
      </c>
      <c r="P124" s="63">
        <v>16000</v>
      </c>
      <c r="Q124" s="63">
        <v>16000</v>
      </c>
      <c r="R124" s="63">
        <v>16000</v>
      </c>
      <c r="S124" s="63">
        <v>16000</v>
      </c>
      <c r="T124" s="63">
        <v>16000</v>
      </c>
      <c r="U124" s="63">
        <v>16000</v>
      </c>
      <c r="V124" s="33"/>
      <c r="Y124" s="50" t="s">
        <v>616</v>
      </c>
    </row>
    <row r="125" spans="2:25">
      <c r="B125" s="27" t="s">
        <v>617</v>
      </c>
      <c r="C125" s="33" t="s">
        <v>618</v>
      </c>
      <c r="D125" s="33" t="s">
        <v>619</v>
      </c>
      <c r="E125" s="33" t="s">
        <v>255</v>
      </c>
      <c r="F125" s="33"/>
      <c r="G125" s="68"/>
      <c r="H125" s="68"/>
      <c r="I125" s="68"/>
      <c r="J125" s="68"/>
      <c r="K125" s="68"/>
      <c r="L125" s="68"/>
      <c r="M125" s="68"/>
      <c r="N125" s="68"/>
      <c r="O125" s="68"/>
      <c r="P125" s="68"/>
      <c r="Q125" s="68"/>
      <c r="R125" s="68"/>
      <c r="S125" s="68"/>
      <c r="T125" s="68"/>
      <c r="U125" s="68"/>
      <c r="V125" s="43">
        <f>SUMPRODUCT($G$117:$U$117,G125:U125)</f>
        <v>0</v>
      </c>
      <c r="Y125" s="50" t="s">
        <v>620</v>
      </c>
    </row>
    <row r="126" spans="2:25">
      <c r="B126" s="27" t="s">
        <v>621</v>
      </c>
      <c r="C126" s="33" t="s">
        <v>622</v>
      </c>
      <c r="D126" s="33" t="s">
        <v>619</v>
      </c>
      <c r="E126" s="33" t="s">
        <v>168</v>
      </c>
      <c r="F126" s="33"/>
      <c r="G126" s="68"/>
      <c r="H126" s="68"/>
      <c r="I126" s="68"/>
      <c r="J126" s="68"/>
      <c r="K126" s="68"/>
      <c r="L126" s="68"/>
      <c r="M126" s="68"/>
      <c r="N126" s="68"/>
      <c r="O126" s="68"/>
      <c r="P126" s="68"/>
      <c r="Q126" s="68"/>
      <c r="R126" s="68"/>
      <c r="S126" s="68"/>
      <c r="T126" s="68"/>
      <c r="U126" s="68"/>
      <c r="V126" s="43">
        <f>SUMPRODUCT($G$117:$U$117,G126:U126)</f>
        <v>0</v>
      </c>
      <c r="Y126" s="50" t="s">
        <v>623</v>
      </c>
    </row>
    <row r="127" spans="2:25">
      <c r="B127" s="27" t="s">
        <v>624</v>
      </c>
      <c r="C127" s="33" t="s">
        <v>416</v>
      </c>
      <c r="D127" s="33" t="s">
        <v>398</v>
      </c>
      <c r="E127" s="33" t="s">
        <v>625</v>
      </c>
      <c r="F127" s="33"/>
      <c r="G127" s="45">
        <f t="shared" ref="G127:U127" si="13">IF(OR($G$75="",G$117=0),0,IF($G$77="Septic tank emptied by the activity",$F$33,IF($G$77="Pit latrine emptied by the activity",IF(N(G124)*G$120*$F$22&gt;0,MIN(1,N(G125)*IF(ISNUMBER($G$84),$G$84,$F$32)*1000/(N(G124)*G$120*$F$22)),0),1)))</f>
        <v>1</v>
      </c>
      <c r="H127" s="45">
        <f t="shared" si="13"/>
        <v>1</v>
      </c>
      <c r="I127" s="45">
        <f t="shared" si="13"/>
        <v>1</v>
      </c>
      <c r="J127" s="45">
        <f t="shared" si="13"/>
        <v>1</v>
      </c>
      <c r="K127" s="45">
        <f t="shared" si="13"/>
        <v>1</v>
      </c>
      <c r="L127" s="45">
        <f t="shared" si="13"/>
        <v>1</v>
      </c>
      <c r="M127" s="45">
        <f t="shared" si="13"/>
        <v>1</v>
      </c>
      <c r="N127" s="45">
        <f t="shared" si="13"/>
        <v>1</v>
      </c>
      <c r="O127" s="45">
        <f t="shared" si="13"/>
        <v>0</v>
      </c>
      <c r="P127" s="45">
        <f t="shared" si="13"/>
        <v>0</v>
      </c>
      <c r="Q127" s="45">
        <f t="shared" si="13"/>
        <v>0</v>
      </c>
      <c r="R127" s="45">
        <f t="shared" si="13"/>
        <v>0</v>
      </c>
      <c r="S127" s="45">
        <f t="shared" si="13"/>
        <v>0</v>
      </c>
      <c r="T127" s="45">
        <f t="shared" si="13"/>
        <v>0</v>
      </c>
      <c r="U127" s="45">
        <f t="shared" si="13"/>
        <v>0</v>
      </c>
      <c r="V127" s="33"/>
    </row>
    <row r="128" spans="2:25">
      <c r="B128" s="27" t="s">
        <v>626</v>
      </c>
      <c r="C128" s="33" t="s">
        <v>627</v>
      </c>
      <c r="D128" s="33" t="s">
        <v>359</v>
      </c>
      <c r="E128" s="33" t="s">
        <v>107</v>
      </c>
      <c r="F128" s="33"/>
      <c r="G128" s="34">
        <f t="shared" ref="G128:U128" si="14">IF($G$75="",0,N(G124)*G$120*$F$22*$F$25*$G$80*G127*$F$30/1000)</f>
        <v>907.53599999999994</v>
      </c>
      <c r="H128" s="34">
        <f t="shared" si="14"/>
        <v>1592.5391999999999</v>
      </c>
      <c r="I128" s="34">
        <f t="shared" si="14"/>
        <v>2041.9559999999999</v>
      </c>
      <c r="J128" s="34">
        <f t="shared" si="14"/>
        <v>2041.9559999999999</v>
      </c>
      <c r="K128" s="34">
        <f t="shared" si="14"/>
        <v>2041.9559999999999</v>
      </c>
      <c r="L128" s="34">
        <f t="shared" si="14"/>
        <v>1933.7975999999999</v>
      </c>
      <c r="M128" s="34">
        <f t="shared" si="14"/>
        <v>1815.0719999999999</v>
      </c>
      <c r="N128" s="34">
        <f t="shared" si="14"/>
        <v>1815.0719999999999</v>
      </c>
      <c r="O128" s="34">
        <f t="shared" si="14"/>
        <v>0</v>
      </c>
      <c r="P128" s="34">
        <f t="shared" si="14"/>
        <v>0</v>
      </c>
      <c r="Q128" s="34">
        <f t="shared" si="14"/>
        <v>0</v>
      </c>
      <c r="R128" s="34">
        <f t="shared" si="14"/>
        <v>0</v>
      </c>
      <c r="S128" s="34">
        <f t="shared" si="14"/>
        <v>0</v>
      </c>
      <c r="T128" s="34">
        <f t="shared" si="14"/>
        <v>0</v>
      </c>
      <c r="U128" s="34">
        <f t="shared" si="14"/>
        <v>0</v>
      </c>
      <c r="V128" s="34">
        <f t="shared" ref="V128:V136" si="15">SUMPRODUCT($G$117:$U$117,G128:U128)</f>
        <v>14189.8848</v>
      </c>
    </row>
    <row r="129" spans="2:25">
      <c r="B129" s="27" t="s">
        <v>628</v>
      </c>
      <c r="C129" s="33" t="s">
        <v>629</v>
      </c>
      <c r="D129" s="33" t="s">
        <v>359</v>
      </c>
      <c r="E129" s="33" t="s">
        <v>129</v>
      </c>
      <c r="F129" s="33"/>
      <c r="G129" s="34">
        <f t="shared" ref="G129:U129" si="16">IF($G$75="",0,G128*$G$83)</f>
        <v>626.19983999999988</v>
      </c>
      <c r="H129" s="34">
        <f t="shared" si="16"/>
        <v>1098.852048</v>
      </c>
      <c r="I129" s="34">
        <f t="shared" si="16"/>
        <v>1408.9496399999998</v>
      </c>
      <c r="J129" s="34">
        <f t="shared" si="16"/>
        <v>1408.9496399999998</v>
      </c>
      <c r="K129" s="34">
        <f t="shared" si="16"/>
        <v>1408.9496399999998</v>
      </c>
      <c r="L129" s="34">
        <f t="shared" si="16"/>
        <v>1334.3203439999997</v>
      </c>
      <c r="M129" s="34">
        <f t="shared" si="16"/>
        <v>1252.3996799999998</v>
      </c>
      <c r="N129" s="34">
        <f t="shared" si="16"/>
        <v>1252.3996799999998</v>
      </c>
      <c r="O129" s="34">
        <f t="shared" si="16"/>
        <v>0</v>
      </c>
      <c r="P129" s="34">
        <f t="shared" si="16"/>
        <v>0</v>
      </c>
      <c r="Q129" s="34">
        <f t="shared" si="16"/>
        <v>0</v>
      </c>
      <c r="R129" s="34">
        <f t="shared" si="16"/>
        <v>0</v>
      </c>
      <c r="S129" s="34">
        <f t="shared" si="16"/>
        <v>0</v>
      </c>
      <c r="T129" s="34">
        <f t="shared" si="16"/>
        <v>0</v>
      </c>
      <c r="U129" s="34">
        <f t="shared" si="16"/>
        <v>0</v>
      </c>
      <c r="V129" s="34">
        <f t="shared" si="15"/>
        <v>9791.0205119999991</v>
      </c>
    </row>
    <row r="130" spans="2:25" ht="21">
      <c r="B130" s="27" t="s">
        <v>630</v>
      </c>
      <c r="C130" s="33" t="s">
        <v>631</v>
      </c>
      <c r="D130" s="33" t="s">
        <v>359</v>
      </c>
      <c r="E130" s="33" t="s">
        <v>632</v>
      </c>
      <c r="F130" s="33"/>
      <c r="G130" s="34">
        <f t="shared" ref="G130:U130" si="17">IF(OR($G$88="FST",$G$88="WW"),N(G124)*G$120*$F$22*$F$25*$G$90*G127*$F$30/1000,0)</f>
        <v>0</v>
      </c>
      <c r="H130" s="34">
        <f t="shared" si="17"/>
        <v>0</v>
      </c>
      <c r="I130" s="34">
        <f t="shared" si="17"/>
        <v>0</v>
      </c>
      <c r="J130" s="34">
        <f t="shared" si="17"/>
        <v>0</v>
      </c>
      <c r="K130" s="34">
        <f t="shared" si="17"/>
        <v>0</v>
      </c>
      <c r="L130" s="34">
        <f t="shared" si="17"/>
        <v>0</v>
      </c>
      <c r="M130" s="34">
        <f t="shared" si="17"/>
        <v>0</v>
      </c>
      <c r="N130" s="34">
        <f t="shared" si="17"/>
        <v>0</v>
      </c>
      <c r="O130" s="34">
        <f t="shared" si="17"/>
        <v>0</v>
      </c>
      <c r="P130" s="34">
        <f t="shared" si="17"/>
        <v>0</v>
      </c>
      <c r="Q130" s="34">
        <f t="shared" si="17"/>
        <v>0</v>
      </c>
      <c r="R130" s="34">
        <f t="shared" si="17"/>
        <v>0</v>
      </c>
      <c r="S130" s="34">
        <f t="shared" si="17"/>
        <v>0</v>
      </c>
      <c r="T130" s="34">
        <f t="shared" si="17"/>
        <v>0</v>
      </c>
      <c r="U130" s="34">
        <f t="shared" si="17"/>
        <v>0</v>
      </c>
      <c r="V130" s="34">
        <f t="shared" si="15"/>
        <v>0</v>
      </c>
    </row>
    <row r="131" spans="2:25" ht="21">
      <c r="B131" s="27" t="s">
        <v>633</v>
      </c>
      <c r="C131" s="33" t="s">
        <v>631</v>
      </c>
      <c r="D131" s="33" t="s">
        <v>359</v>
      </c>
      <c r="E131" s="33" t="s">
        <v>632</v>
      </c>
      <c r="F131" s="33"/>
      <c r="G131" s="34">
        <f t="shared" ref="G131:U131" si="18">IF(OR($G$89="FST",$G$89="WW"),N(G124)*G$120*$F$22*$F$25*$G$91*G127*$F$30/1000,0)</f>
        <v>0</v>
      </c>
      <c r="H131" s="34">
        <f t="shared" si="18"/>
        <v>0</v>
      </c>
      <c r="I131" s="34">
        <f t="shared" si="18"/>
        <v>0</v>
      </c>
      <c r="J131" s="34">
        <f t="shared" si="18"/>
        <v>0</v>
      </c>
      <c r="K131" s="34">
        <f t="shared" si="18"/>
        <v>0</v>
      </c>
      <c r="L131" s="34">
        <f t="shared" si="18"/>
        <v>0</v>
      </c>
      <c r="M131" s="34">
        <f t="shared" si="18"/>
        <v>0</v>
      </c>
      <c r="N131" s="34">
        <f t="shared" si="18"/>
        <v>0</v>
      </c>
      <c r="O131" s="34">
        <f t="shared" si="18"/>
        <v>0</v>
      </c>
      <c r="P131" s="34">
        <f t="shared" si="18"/>
        <v>0</v>
      </c>
      <c r="Q131" s="34">
        <f t="shared" si="18"/>
        <v>0</v>
      </c>
      <c r="R131" s="34">
        <f t="shared" si="18"/>
        <v>0</v>
      </c>
      <c r="S131" s="34">
        <f t="shared" si="18"/>
        <v>0</v>
      </c>
      <c r="T131" s="34">
        <f t="shared" si="18"/>
        <v>0</v>
      </c>
      <c r="U131" s="34">
        <f t="shared" si="18"/>
        <v>0</v>
      </c>
      <c r="V131" s="34">
        <f t="shared" si="15"/>
        <v>0</v>
      </c>
    </row>
    <row r="132" spans="2:25" ht="21">
      <c r="B132" s="27" t="s">
        <v>634</v>
      </c>
      <c r="C132" s="33" t="s">
        <v>635</v>
      </c>
      <c r="D132" s="33" t="s">
        <v>359</v>
      </c>
      <c r="E132" s="33" t="s">
        <v>636</v>
      </c>
      <c r="F132" s="33"/>
      <c r="G132" s="34">
        <f t="shared" ref="G132:U132" si="19">IF(OR($G$88="FST",$G$88="WW"),IF(ISNUMBER($G$85),G$117*N(G126)*$G$85,N(G124)*G127*$F$36*G$120/365)*$G$92*(44/28)*$F$31/1000,0)</f>
        <v>0</v>
      </c>
      <c r="H132" s="34">
        <f t="shared" si="19"/>
        <v>0</v>
      </c>
      <c r="I132" s="34">
        <f t="shared" si="19"/>
        <v>0</v>
      </c>
      <c r="J132" s="34">
        <f t="shared" si="19"/>
        <v>0</v>
      </c>
      <c r="K132" s="34">
        <f t="shared" si="19"/>
        <v>0</v>
      </c>
      <c r="L132" s="34">
        <f t="shared" si="19"/>
        <v>0</v>
      </c>
      <c r="M132" s="34">
        <f t="shared" si="19"/>
        <v>0</v>
      </c>
      <c r="N132" s="34">
        <f t="shared" si="19"/>
        <v>0</v>
      </c>
      <c r="O132" s="34">
        <f t="shared" si="19"/>
        <v>0</v>
      </c>
      <c r="P132" s="34">
        <f t="shared" si="19"/>
        <v>0</v>
      </c>
      <c r="Q132" s="34">
        <f t="shared" si="19"/>
        <v>0</v>
      </c>
      <c r="R132" s="34">
        <f t="shared" si="19"/>
        <v>0</v>
      </c>
      <c r="S132" s="34">
        <f t="shared" si="19"/>
        <v>0</v>
      </c>
      <c r="T132" s="34">
        <f t="shared" si="19"/>
        <v>0</v>
      </c>
      <c r="U132" s="34">
        <f t="shared" si="19"/>
        <v>0</v>
      </c>
      <c r="V132" s="34">
        <f t="shared" si="15"/>
        <v>0</v>
      </c>
    </row>
    <row r="133" spans="2:25" ht="21">
      <c r="B133" s="27" t="s">
        <v>637</v>
      </c>
      <c r="C133" s="33" t="s">
        <v>635</v>
      </c>
      <c r="D133" s="33" t="s">
        <v>359</v>
      </c>
      <c r="E133" s="33" t="s">
        <v>636</v>
      </c>
      <c r="F133" s="33"/>
      <c r="G133" s="34">
        <f t="shared" ref="G133:U133" si="20">IF(OR($G$89="FST",$G$89="WW"),IF(ISNUMBER($G$85),G$117*N(G126)*$G$85,N(G124)*G127*$F$36*G$120/365)*$G$93*(44/28)*$F$31/1000,0)</f>
        <v>0</v>
      </c>
      <c r="H133" s="34">
        <f t="shared" si="20"/>
        <v>0</v>
      </c>
      <c r="I133" s="34">
        <f t="shared" si="20"/>
        <v>0</v>
      </c>
      <c r="J133" s="34">
        <f t="shared" si="20"/>
        <v>0</v>
      </c>
      <c r="K133" s="34">
        <f t="shared" si="20"/>
        <v>0</v>
      </c>
      <c r="L133" s="34">
        <f t="shared" si="20"/>
        <v>0</v>
      </c>
      <c r="M133" s="34">
        <f t="shared" si="20"/>
        <v>0</v>
      </c>
      <c r="N133" s="34">
        <f t="shared" si="20"/>
        <v>0</v>
      </c>
      <c r="O133" s="34">
        <f t="shared" si="20"/>
        <v>0</v>
      </c>
      <c r="P133" s="34">
        <f t="shared" si="20"/>
        <v>0</v>
      </c>
      <c r="Q133" s="34">
        <f t="shared" si="20"/>
        <v>0</v>
      </c>
      <c r="R133" s="34">
        <f t="shared" si="20"/>
        <v>0</v>
      </c>
      <c r="S133" s="34">
        <f t="shared" si="20"/>
        <v>0</v>
      </c>
      <c r="T133" s="34">
        <f t="shared" si="20"/>
        <v>0</v>
      </c>
      <c r="U133" s="34">
        <f t="shared" si="20"/>
        <v>0</v>
      </c>
      <c r="V133" s="34">
        <f t="shared" si="15"/>
        <v>0</v>
      </c>
    </row>
    <row r="134" spans="2:25" ht="21">
      <c r="B134" s="27" t="s">
        <v>638</v>
      </c>
      <c r="C134" s="33" t="s">
        <v>635</v>
      </c>
      <c r="D134" s="33" t="s">
        <v>359</v>
      </c>
      <c r="E134" s="33" t="s">
        <v>639</v>
      </c>
      <c r="F134" s="33"/>
      <c r="G134" s="34">
        <f t="shared" ref="G134:U134" si="21">IF(ISNUMBER($G$85),G$117*N(G126)*$G$85,N(G124)*G127*$F$36*G$120/365)*N($G$95)*$F$54*(44/28)*$F$31/1000</f>
        <v>0</v>
      </c>
      <c r="H134" s="34">
        <f t="shared" si="21"/>
        <v>0</v>
      </c>
      <c r="I134" s="34">
        <f t="shared" si="21"/>
        <v>0</v>
      </c>
      <c r="J134" s="34">
        <f t="shared" si="21"/>
        <v>0</v>
      </c>
      <c r="K134" s="34">
        <f t="shared" si="21"/>
        <v>0</v>
      </c>
      <c r="L134" s="34">
        <f t="shared" si="21"/>
        <v>0</v>
      </c>
      <c r="M134" s="34">
        <f t="shared" si="21"/>
        <v>0</v>
      </c>
      <c r="N134" s="34">
        <f t="shared" si="21"/>
        <v>0</v>
      </c>
      <c r="O134" s="34">
        <f t="shared" si="21"/>
        <v>0</v>
      </c>
      <c r="P134" s="34">
        <f t="shared" si="21"/>
        <v>0</v>
      </c>
      <c r="Q134" s="34">
        <f t="shared" si="21"/>
        <v>0</v>
      </c>
      <c r="R134" s="34">
        <f t="shared" si="21"/>
        <v>0</v>
      </c>
      <c r="S134" s="34">
        <f t="shared" si="21"/>
        <v>0</v>
      </c>
      <c r="T134" s="34">
        <f t="shared" si="21"/>
        <v>0</v>
      </c>
      <c r="U134" s="34">
        <f t="shared" si="21"/>
        <v>0</v>
      </c>
      <c r="V134" s="34">
        <f t="shared" si="15"/>
        <v>0</v>
      </c>
    </row>
    <row r="135" spans="2:25" ht="21">
      <c r="B135" s="27" t="s">
        <v>640</v>
      </c>
      <c r="C135" s="33" t="s">
        <v>635</v>
      </c>
      <c r="D135" s="33" t="s">
        <v>359</v>
      </c>
      <c r="E135" s="33" t="s">
        <v>639</v>
      </c>
      <c r="F135" s="33"/>
      <c r="G135" s="34">
        <f t="shared" ref="G135:U135" si="22">IF(AND($G$94="Yes",OR($G$88="AD",$G$89="AD")),IF(ISNUMBER($G$85),G$117*N(G126)*$G$85,N(G124)*G127*$F$36*G$120/365)*N($F$53)*(44/28)*$F$31/1000,0)</f>
        <v>0</v>
      </c>
      <c r="H135" s="34">
        <f t="shared" si="22"/>
        <v>0</v>
      </c>
      <c r="I135" s="34">
        <f t="shared" si="22"/>
        <v>0</v>
      </c>
      <c r="J135" s="34">
        <f t="shared" si="22"/>
        <v>0</v>
      </c>
      <c r="K135" s="34">
        <f t="shared" si="22"/>
        <v>0</v>
      </c>
      <c r="L135" s="34">
        <f t="shared" si="22"/>
        <v>0</v>
      </c>
      <c r="M135" s="34">
        <f t="shared" si="22"/>
        <v>0</v>
      </c>
      <c r="N135" s="34">
        <f t="shared" si="22"/>
        <v>0</v>
      </c>
      <c r="O135" s="34">
        <f t="shared" si="22"/>
        <v>0</v>
      </c>
      <c r="P135" s="34">
        <f t="shared" si="22"/>
        <v>0</v>
      </c>
      <c r="Q135" s="34">
        <f t="shared" si="22"/>
        <v>0</v>
      </c>
      <c r="R135" s="34">
        <f t="shared" si="22"/>
        <v>0</v>
      </c>
      <c r="S135" s="34">
        <f t="shared" si="22"/>
        <v>0</v>
      </c>
      <c r="T135" s="34">
        <f t="shared" si="22"/>
        <v>0</v>
      </c>
      <c r="U135" s="34">
        <f t="shared" si="22"/>
        <v>0</v>
      </c>
      <c r="V135" s="34">
        <f t="shared" si="15"/>
        <v>0</v>
      </c>
    </row>
    <row r="136" spans="2:25" ht="31.5">
      <c r="B136" s="27" t="s">
        <v>641</v>
      </c>
      <c r="C136" s="33"/>
      <c r="D136" s="33" t="s">
        <v>359</v>
      </c>
      <c r="E136" s="33" t="s">
        <v>642</v>
      </c>
      <c r="F136" s="33"/>
      <c r="G136" s="34">
        <f t="shared" ref="G136:U136" si="23">G129*(1-G$121)*N(G$200)*N(G$201)-(G130+G131+G132+G133+G134+G135)</f>
        <v>504.18304781644804</v>
      </c>
      <c r="H136" s="34">
        <f t="shared" si="23"/>
        <v>914.22890465018122</v>
      </c>
      <c r="I136" s="34">
        <f t="shared" si="23"/>
        <v>1172.2255861732417</v>
      </c>
      <c r="J136" s="34">
        <f t="shared" si="23"/>
        <v>1172.2255861732417</v>
      </c>
      <c r="K136" s="34">
        <f t="shared" si="23"/>
        <v>1172.2255861732417</v>
      </c>
      <c r="L136" s="34">
        <f t="shared" si="23"/>
        <v>1110.1350985037914</v>
      </c>
      <c r="M136" s="34">
        <f t="shared" si="23"/>
        <v>1041.9782988206591</v>
      </c>
      <c r="N136" s="34">
        <f t="shared" si="23"/>
        <v>1041.9782988206591</v>
      </c>
      <c r="O136" s="34">
        <f t="shared" si="23"/>
        <v>0</v>
      </c>
      <c r="P136" s="34">
        <f t="shared" si="23"/>
        <v>0</v>
      </c>
      <c r="Q136" s="34">
        <f t="shared" si="23"/>
        <v>0</v>
      </c>
      <c r="R136" s="34">
        <f t="shared" si="23"/>
        <v>0</v>
      </c>
      <c r="S136" s="34">
        <f t="shared" si="23"/>
        <v>0</v>
      </c>
      <c r="T136" s="34">
        <f t="shared" si="23"/>
        <v>0</v>
      </c>
      <c r="U136" s="34">
        <f t="shared" si="23"/>
        <v>0</v>
      </c>
      <c r="V136" s="34">
        <f t="shared" si="15"/>
        <v>8129.1804071314646</v>
      </c>
      <c r="Y136" s="50" t="s">
        <v>643</v>
      </c>
    </row>
    <row r="137" spans="2:25" ht="22.5">
      <c r="B137" s="25" t="str">
        <f>"Stratum 2: "&amp;IF(H$74="","not used",H$74)</f>
        <v>Stratum 2: Camp: communal latrines remaining in use, desludged by the activity</v>
      </c>
      <c r="C137" s="25"/>
      <c r="D137" s="25"/>
      <c r="E137" s="25"/>
      <c r="F137" s="25"/>
      <c r="G137" s="26">
        <f t="shared" ref="G137:U137" si="24">G$114</f>
        <v>1</v>
      </c>
      <c r="H137" s="26">
        <f t="shared" si="24"/>
        <v>2</v>
      </c>
      <c r="I137" s="26">
        <f t="shared" si="24"/>
        <v>3</v>
      </c>
      <c r="J137" s="26">
        <f t="shared" si="24"/>
        <v>4</v>
      </c>
      <c r="K137" s="26">
        <f t="shared" si="24"/>
        <v>5</v>
      </c>
      <c r="L137" s="26">
        <f t="shared" si="24"/>
        <v>6</v>
      </c>
      <c r="M137" s="26">
        <f t="shared" si="24"/>
        <v>7</v>
      </c>
      <c r="N137" s="26">
        <f t="shared" si="24"/>
        <v>8</v>
      </c>
      <c r="O137" s="26">
        <f t="shared" si="24"/>
        <v>9</v>
      </c>
      <c r="P137" s="26">
        <f t="shared" si="24"/>
        <v>10</v>
      </c>
      <c r="Q137" s="26">
        <f t="shared" si="24"/>
        <v>11</v>
      </c>
      <c r="R137" s="26">
        <f t="shared" si="24"/>
        <v>12</v>
      </c>
      <c r="S137" s="26">
        <f t="shared" si="24"/>
        <v>13</v>
      </c>
      <c r="T137" s="26">
        <f t="shared" si="24"/>
        <v>14</v>
      </c>
      <c r="U137" s="26">
        <f t="shared" si="24"/>
        <v>15</v>
      </c>
      <c r="V137" s="26" t="s">
        <v>602</v>
      </c>
      <c r="Y137" s="25"/>
    </row>
    <row r="138" spans="2:25">
      <c r="B138" s="27" t="s">
        <v>614</v>
      </c>
      <c r="C138" s="33" t="s">
        <v>615</v>
      </c>
      <c r="D138" s="33" t="s">
        <v>514</v>
      </c>
      <c r="E138" s="33" t="s">
        <v>212</v>
      </c>
      <c r="F138" s="33"/>
      <c r="G138" s="63">
        <v>6000</v>
      </c>
      <c r="H138" s="63">
        <v>6000</v>
      </c>
      <c r="I138" s="63">
        <v>6000</v>
      </c>
      <c r="J138" s="63">
        <v>6000</v>
      </c>
      <c r="K138" s="63">
        <v>6000</v>
      </c>
      <c r="L138" s="63">
        <v>6000</v>
      </c>
      <c r="M138" s="63">
        <v>6000</v>
      </c>
      <c r="N138" s="63">
        <v>6000</v>
      </c>
      <c r="O138" s="63">
        <v>6000</v>
      </c>
      <c r="P138" s="63">
        <v>6000</v>
      </c>
      <c r="Q138" s="63">
        <v>6000</v>
      </c>
      <c r="R138" s="63">
        <v>6000</v>
      </c>
      <c r="S138" s="63">
        <v>6000</v>
      </c>
      <c r="T138" s="63">
        <v>6000</v>
      </c>
      <c r="U138" s="63">
        <v>6000</v>
      </c>
      <c r="V138" s="33"/>
    </row>
    <row r="139" spans="2:25">
      <c r="B139" s="27" t="s">
        <v>617</v>
      </c>
      <c r="C139" s="33" t="s">
        <v>618</v>
      </c>
      <c r="D139" s="33" t="s">
        <v>619</v>
      </c>
      <c r="E139" s="33" t="s">
        <v>255</v>
      </c>
      <c r="F139" s="33"/>
      <c r="G139" s="68">
        <v>480</v>
      </c>
      <c r="H139" s="68">
        <v>480</v>
      </c>
      <c r="I139" s="68">
        <v>480</v>
      </c>
      <c r="J139" s="68">
        <v>480</v>
      </c>
      <c r="K139" s="68">
        <v>480</v>
      </c>
      <c r="L139" s="68">
        <v>480</v>
      </c>
      <c r="M139" s="68">
        <v>480</v>
      </c>
      <c r="N139" s="68">
        <v>480</v>
      </c>
      <c r="O139" s="68">
        <v>480</v>
      </c>
      <c r="P139" s="68">
        <v>480</v>
      </c>
      <c r="Q139" s="68">
        <v>480</v>
      </c>
      <c r="R139" s="68">
        <v>480</v>
      </c>
      <c r="S139" s="68">
        <v>480</v>
      </c>
      <c r="T139" s="68">
        <v>480</v>
      </c>
      <c r="U139" s="68">
        <v>480</v>
      </c>
      <c r="V139" s="43">
        <f>SUMPRODUCT($G$117:$U$117,G139:U139)</f>
        <v>3840</v>
      </c>
      <c r="Y139" s="50" t="s">
        <v>804</v>
      </c>
    </row>
    <row r="140" spans="2:25">
      <c r="B140" s="27" t="s">
        <v>621</v>
      </c>
      <c r="C140" s="33" t="s">
        <v>622</v>
      </c>
      <c r="D140" s="33" t="s">
        <v>619</v>
      </c>
      <c r="E140" s="33" t="s">
        <v>168</v>
      </c>
      <c r="F140" s="33"/>
      <c r="G140" s="68"/>
      <c r="H140" s="68"/>
      <c r="I140" s="68"/>
      <c r="J140" s="68"/>
      <c r="K140" s="68"/>
      <c r="L140" s="68"/>
      <c r="M140" s="68"/>
      <c r="N140" s="68"/>
      <c r="O140" s="68"/>
      <c r="P140" s="68"/>
      <c r="Q140" s="68"/>
      <c r="R140" s="68"/>
      <c r="S140" s="68"/>
      <c r="T140" s="68"/>
      <c r="U140" s="68"/>
      <c r="V140" s="43">
        <f>SUMPRODUCT($G$117:$U$117,G140:U140)</f>
        <v>0</v>
      </c>
    </row>
    <row r="141" spans="2:25">
      <c r="B141" s="27" t="s">
        <v>624</v>
      </c>
      <c r="C141" s="33" t="s">
        <v>416</v>
      </c>
      <c r="D141" s="33" t="s">
        <v>398</v>
      </c>
      <c r="E141" s="33" t="s">
        <v>625</v>
      </c>
      <c r="F141" s="33"/>
      <c r="G141" s="45">
        <f t="shared" ref="G141:U141" si="25">IF(OR($H$75="",G$117=0),0,IF($H$77="Septic tank emptied by the activity",$F$33,IF($H$77="Pit latrine emptied by the activity",IF(N(G138)*G$120*$F$22&gt;0,MIN(1,N(G139)*IF(ISNUMBER($H$84),$H$84,$F$32)*1000/(N(G138)*G$120*$F$22)),0),1)))</f>
        <v>1.066271751203258E-2</v>
      </c>
      <c r="H141" s="45">
        <f t="shared" si="25"/>
        <v>1.0633584404076208E-2</v>
      </c>
      <c r="I141" s="45">
        <f t="shared" si="25"/>
        <v>1.066271751203258E-2</v>
      </c>
      <c r="J141" s="45">
        <f t="shared" si="25"/>
        <v>1.066271751203258E-2</v>
      </c>
      <c r="K141" s="45">
        <f t="shared" si="25"/>
        <v>1.066271751203258E-2</v>
      </c>
      <c r="L141" s="45">
        <f t="shared" si="25"/>
        <v>1.0633584404076208E-2</v>
      </c>
      <c r="M141" s="45">
        <f t="shared" si="25"/>
        <v>1.066271751203258E-2</v>
      </c>
      <c r="N141" s="45">
        <f t="shared" si="25"/>
        <v>1.066271751203258E-2</v>
      </c>
      <c r="O141" s="45">
        <f t="shared" si="25"/>
        <v>0</v>
      </c>
      <c r="P141" s="45">
        <f t="shared" si="25"/>
        <v>0</v>
      </c>
      <c r="Q141" s="45">
        <f t="shared" si="25"/>
        <v>0</v>
      </c>
      <c r="R141" s="45">
        <f t="shared" si="25"/>
        <v>0</v>
      </c>
      <c r="S141" s="45">
        <f t="shared" si="25"/>
        <v>0</v>
      </c>
      <c r="T141" s="45">
        <f t="shared" si="25"/>
        <v>0</v>
      </c>
      <c r="U141" s="45">
        <f t="shared" si="25"/>
        <v>0</v>
      </c>
      <c r="V141" s="33"/>
    </row>
    <row r="142" spans="2:25">
      <c r="B142" s="27" t="s">
        <v>626</v>
      </c>
      <c r="C142" s="33" t="s">
        <v>627</v>
      </c>
      <c r="D142" s="33" t="s">
        <v>359</v>
      </c>
      <c r="E142" s="33" t="s">
        <v>107</v>
      </c>
      <c r="F142" s="33"/>
      <c r="G142" s="34">
        <f t="shared" ref="G142:U142" si="26">IF($H$75="",0,N(G138)*G$120*$F$22*$F$25*$H$80*G141*$F$30/1000)</f>
        <v>7.2575999999999992</v>
      </c>
      <c r="H142" s="34">
        <f t="shared" si="26"/>
        <v>7.2575999999999992</v>
      </c>
      <c r="I142" s="34">
        <f t="shared" si="26"/>
        <v>7.2575999999999992</v>
      </c>
      <c r="J142" s="34">
        <f t="shared" si="26"/>
        <v>7.2575999999999992</v>
      </c>
      <c r="K142" s="34">
        <f t="shared" si="26"/>
        <v>7.2575999999999992</v>
      </c>
      <c r="L142" s="34">
        <f t="shared" si="26"/>
        <v>7.2575999999999992</v>
      </c>
      <c r="M142" s="34">
        <f t="shared" si="26"/>
        <v>7.2575999999999992</v>
      </c>
      <c r="N142" s="34">
        <f t="shared" si="26"/>
        <v>7.2575999999999992</v>
      </c>
      <c r="O142" s="34">
        <f t="shared" si="26"/>
        <v>0</v>
      </c>
      <c r="P142" s="34">
        <f t="shared" si="26"/>
        <v>0</v>
      </c>
      <c r="Q142" s="34">
        <f t="shared" si="26"/>
        <v>0</v>
      </c>
      <c r="R142" s="34">
        <f t="shared" si="26"/>
        <v>0</v>
      </c>
      <c r="S142" s="34">
        <f t="shared" si="26"/>
        <v>0</v>
      </c>
      <c r="T142" s="34">
        <f t="shared" si="26"/>
        <v>0</v>
      </c>
      <c r="U142" s="34">
        <f t="shared" si="26"/>
        <v>0</v>
      </c>
      <c r="V142" s="34">
        <f t="shared" ref="V142:V150" si="27">SUMPRODUCT($G$117:$U$117,G142:U142)</f>
        <v>58.060799999999986</v>
      </c>
    </row>
    <row r="143" spans="2:25">
      <c r="B143" s="27" t="s">
        <v>628</v>
      </c>
      <c r="C143" s="33" t="s">
        <v>629</v>
      </c>
      <c r="D143" s="33" t="s">
        <v>359</v>
      </c>
      <c r="E143" s="33" t="s">
        <v>129</v>
      </c>
      <c r="F143" s="33"/>
      <c r="G143" s="34">
        <f t="shared" ref="G143:U143" si="28">IF($H$75="",0,G142*$H$83)</f>
        <v>5.0077439999999989</v>
      </c>
      <c r="H143" s="34">
        <f t="shared" si="28"/>
        <v>5.0077439999999989</v>
      </c>
      <c r="I143" s="34">
        <f t="shared" si="28"/>
        <v>5.0077439999999989</v>
      </c>
      <c r="J143" s="34">
        <f t="shared" si="28"/>
        <v>5.0077439999999989</v>
      </c>
      <c r="K143" s="34">
        <f t="shared" si="28"/>
        <v>5.0077439999999989</v>
      </c>
      <c r="L143" s="34">
        <f t="shared" si="28"/>
        <v>5.0077439999999989</v>
      </c>
      <c r="M143" s="34">
        <f t="shared" si="28"/>
        <v>5.0077439999999989</v>
      </c>
      <c r="N143" s="34">
        <f t="shared" si="28"/>
        <v>5.0077439999999989</v>
      </c>
      <c r="O143" s="34">
        <f t="shared" si="28"/>
        <v>0</v>
      </c>
      <c r="P143" s="34">
        <f t="shared" si="28"/>
        <v>0</v>
      </c>
      <c r="Q143" s="34">
        <f t="shared" si="28"/>
        <v>0</v>
      </c>
      <c r="R143" s="34">
        <f t="shared" si="28"/>
        <v>0</v>
      </c>
      <c r="S143" s="34">
        <f t="shared" si="28"/>
        <v>0</v>
      </c>
      <c r="T143" s="34">
        <f t="shared" si="28"/>
        <v>0</v>
      </c>
      <c r="U143" s="34">
        <f t="shared" si="28"/>
        <v>0</v>
      </c>
      <c r="V143" s="34">
        <f t="shared" si="27"/>
        <v>40.061951999999991</v>
      </c>
    </row>
    <row r="144" spans="2:25" ht="21">
      <c r="B144" s="27" t="s">
        <v>630</v>
      </c>
      <c r="C144" s="33" t="s">
        <v>631</v>
      </c>
      <c r="D144" s="33" t="s">
        <v>359</v>
      </c>
      <c r="E144" s="33" t="s">
        <v>632</v>
      </c>
      <c r="F144" s="33"/>
      <c r="G144" s="34">
        <f t="shared" ref="G144:U144" si="29">IF(OR($H$88="FST",$H$88="WW"),N(G138)*G$120*$F$22*$F$25*$H$90*G141*$F$30/1000,0)</f>
        <v>2.9030399999999998</v>
      </c>
      <c r="H144" s="34">
        <f t="shared" si="29"/>
        <v>2.9030399999999998</v>
      </c>
      <c r="I144" s="34">
        <f t="shared" si="29"/>
        <v>2.9030399999999998</v>
      </c>
      <c r="J144" s="34">
        <f t="shared" si="29"/>
        <v>2.9030399999999998</v>
      </c>
      <c r="K144" s="34">
        <f t="shared" si="29"/>
        <v>2.9030399999999998</v>
      </c>
      <c r="L144" s="34">
        <f t="shared" si="29"/>
        <v>2.9030399999999998</v>
      </c>
      <c r="M144" s="34">
        <f t="shared" si="29"/>
        <v>2.9030399999999998</v>
      </c>
      <c r="N144" s="34">
        <f t="shared" si="29"/>
        <v>2.9030399999999998</v>
      </c>
      <c r="O144" s="34">
        <f t="shared" si="29"/>
        <v>0</v>
      </c>
      <c r="P144" s="34">
        <f t="shared" si="29"/>
        <v>0</v>
      </c>
      <c r="Q144" s="34">
        <f t="shared" si="29"/>
        <v>0</v>
      </c>
      <c r="R144" s="34">
        <f t="shared" si="29"/>
        <v>0</v>
      </c>
      <c r="S144" s="34">
        <f t="shared" si="29"/>
        <v>0</v>
      </c>
      <c r="T144" s="34">
        <f t="shared" si="29"/>
        <v>0</v>
      </c>
      <c r="U144" s="34">
        <f t="shared" si="29"/>
        <v>0</v>
      </c>
      <c r="V144" s="34">
        <f t="shared" si="27"/>
        <v>23.224320000000002</v>
      </c>
    </row>
    <row r="145" spans="2:25" ht="21">
      <c r="B145" s="27" t="s">
        <v>633</v>
      </c>
      <c r="C145" s="33" t="s">
        <v>631</v>
      </c>
      <c r="D145" s="33" t="s">
        <v>359</v>
      </c>
      <c r="E145" s="33" t="s">
        <v>632</v>
      </c>
      <c r="F145" s="33"/>
      <c r="G145" s="34">
        <f t="shared" ref="G145:U145" si="30">IF(OR($H$89="FST",$H$89="WW"),N(G138)*G$120*$F$22*$F$25*$H$91*G141*$F$30/1000,0)</f>
        <v>0</v>
      </c>
      <c r="H145" s="34">
        <f t="shared" si="30"/>
        <v>0</v>
      </c>
      <c r="I145" s="34">
        <f t="shared" si="30"/>
        <v>0</v>
      </c>
      <c r="J145" s="34">
        <f t="shared" si="30"/>
        <v>0</v>
      </c>
      <c r="K145" s="34">
        <f t="shared" si="30"/>
        <v>0</v>
      </c>
      <c r="L145" s="34">
        <f t="shared" si="30"/>
        <v>0</v>
      </c>
      <c r="M145" s="34">
        <f t="shared" si="30"/>
        <v>0</v>
      </c>
      <c r="N145" s="34">
        <f t="shared" si="30"/>
        <v>0</v>
      </c>
      <c r="O145" s="34">
        <f t="shared" si="30"/>
        <v>0</v>
      </c>
      <c r="P145" s="34">
        <f t="shared" si="30"/>
        <v>0</v>
      </c>
      <c r="Q145" s="34">
        <f t="shared" si="30"/>
        <v>0</v>
      </c>
      <c r="R145" s="34">
        <f t="shared" si="30"/>
        <v>0</v>
      </c>
      <c r="S145" s="34">
        <f t="shared" si="30"/>
        <v>0</v>
      </c>
      <c r="T145" s="34">
        <f t="shared" si="30"/>
        <v>0</v>
      </c>
      <c r="U145" s="34">
        <f t="shared" si="30"/>
        <v>0</v>
      </c>
      <c r="V145" s="34">
        <f t="shared" si="27"/>
        <v>0</v>
      </c>
    </row>
    <row r="146" spans="2:25" ht="21">
      <c r="B146" s="27" t="s">
        <v>634</v>
      </c>
      <c r="C146" s="33" t="s">
        <v>635</v>
      </c>
      <c r="D146" s="33" t="s">
        <v>359</v>
      </c>
      <c r="E146" s="33" t="s">
        <v>636</v>
      </c>
      <c r="F146" s="33"/>
      <c r="G146" s="34">
        <f t="shared" ref="G146:U146" si="31">IF(OR($H$88="FST",$H$88="WW"),IF(ISNUMBER($H$85),G$117*N(G140)*$H$85,N(G138)*G141*$F$36*G$120/365)*$H$92*(44/28)*$F$31/1000,0)</f>
        <v>1.6912898609420848</v>
      </c>
      <c r="H146" s="34">
        <f t="shared" si="31"/>
        <v>1.6912898609420848</v>
      </c>
      <c r="I146" s="34">
        <f t="shared" si="31"/>
        <v>1.6912898609420848</v>
      </c>
      <c r="J146" s="34">
        <f t="shared" si="31"/>
        <v>1.6912898609420848</v>
      </c>
      <c r="K146" s="34">
        <f t="shared" si="31"/>
        <v>1.6912898609420848</v>
      </c>
      <c r="L146" s="34">
        <f t="shared" si="31"/>
        <v>1.6912898609420848</v>
      </c>
      <c r="M146" s="34">
        <f t="shared" si="31"/>
        <v>1.6912898609420848</v>
      </c>
      <c r="N146" s="34">
        <f t="shared" si="31"/>
        <v>1.6912898609420848</v>
      </c>
      <c r="O146" s="34">
        <f t="shared" si="31"/>
        <v>0</v>
      </c>
      <c r="P146" s="34">
        <f t="shared" si="31"/>
        <v>0</v>
      </c>
      <c r="Q146" s="34">
        <f t="shared" si="31"/>
        <v>0</v>
      </c>
      <c r="R146" s="34">
        <f t="shared" si="31"/>
        <v>0</v>
      </c>
      <c r="S146" s="34">
        <f t="shared" si="31"/>
        <v>0</v>
      </c>
      <c r="T146" s="34">
        <f t="shared" si="31"/>
        <v>0</v>
      </c>
      <c r="U146" s="34">
        <f t="shared" si="31"/>
        <v>0</v>
      </c>
      <c r="V146" s="34">
        <f t="shared" si="27"/>
        <v>13.530318887536678</v>
      </c>
    </row>
    <row r="147" spans="2:25" ht="21">
      <c r="B147" s="27" t="s">
        <v>637</v>
      </c>
      <c r="C147" s="33" t="s">
        <v>635</v>
      </c>
      <c r="D147" s="33" t="s">
        <v>359</v>
      </c>
      <c r="E147" s="33" t="s">
        <v>636</v>
      </c>
      <c r="F147" s="33"/>
      <c r="G147" s="34">
        <f t="shared" ref="G147:U147" si="32">IF(OR($H$89="FST",$H$89="WW"),IF(ISNUMBER($H$85),G$117*N(G140)*$H$85,N(G138)*G141*$F$36*G$120/365)*$H$93*(44/28)*$F$31/1000,0)</f>
        <v>0</v>
      </c>
      <c r="H147" s="34">
        <f t="shared" si="32"/>
        <v>0</v>
      </c>
      <c r="I147" s="34">
        <f t="shared" si="32"/>
        <v>0</v>
      </c>
      <c r="J147" s="34">
        <f t="shared" si="32"/>
        <v>0</v>
      </c>
      <c r="K147" s="34">
        <f t="shared" si="32"/>
        <v>0</v>
      </c>
      <c r="L147" s="34">
        <f t="shared" si="32"/>
        <v>0</v>
      </c>
      <c r="M147" s="34">
        <f t="shared" si="32"/>
        <v>0</v>
      </c>
      <c r="N147" s="34">
        <f t="shared" si="32"/>
        <v>0</v>
      </c>
      <c r="O147" s="34">
        <f t="shared" si="32"/>
        <v>0</v>
      </c>
      <c r="P147" s="34">
        <f t="shared" si="32"/>
        <v>0</v>
      </c>
      <c r="Q147" s="34">
        <f t="shared" si="32"/>
        <v>0</v>
      </c>
      <c r="R147" s="34">
        <f t="shared" si="32"/>
        <v>0</v>
      </c>
      <c r="S147" s="34">
        <f t="shared" si="32"/>
        <v>0</v>
      </c>
      <c r="T147" s="34">
        <f t="shared" si="32"/>
        <v>0</v>
      </c>
      <c r="U147" s="34">
        <f t="shared" si="32"/>
        <v>0</v>
      </c>
      <c r="V147" s="34">
        <f t="shared" si="27"/>
        <v>0</v>
      </c>
    </row>
    <row r="148" spans="2:25" ht="21">
      <c r="B148" s="27" t="s">
        <v>638</v>
      </c>
      <c r="C148" s="33" t="s">
        <v>635</v>
      </c>
      <c r="D148" s="33" t="s">
        <v>359</v>
      </c>
      <c r="E148" s="33" t="s">
        <v>639</v>
      </c>
      <c r="F148" s="33"/>
      <c r="G148" s="34">
        <f t="shared" ref="G148:U148" si="33">IF(ISNUMBER($H$85),G$117*N(G140)*$H$85,N(G138)*G141*$F$36*G$120/365)*N($H$95)*$F$54*(44/28)*$F$31/1000</f>
        <v>0</v>
      </c>
      <c r="H148" s="34">
        <f t="shared" si="33"/>
        <v>0</v>
      </c>
      <c r="I148" s="34">
        <f t="shared" si="33"/>
        <v>0</v>
      </c>
      <c r="J148" s="34">
        <f t="shared" si="33"/>
        <v>0</v>
      </c>
      <c r="K148" s="34">
        <f t="shared" si="33"/>
        <v>0</v>
      </c>
      <c r="L148" s="34">
        <f t="shared" si="33"/>
        <v>0</v>
      </c>
      <c r="M148" s="34">
        <f t="shared" si="33"/>
        <v>0</v>
      </c>
      <c r="N148" s="34">
        <f t="shared" si="33"/>
        <v>0</v>
      </c>
      <c r="O148" s="34">
        <f t="shared" si="33"/>
        <v>0</v>
      </c>
      <c r="P148" s="34">
        <f t="shared" si="33"/>
        <v>0</v>
      </c>
      <c r="Q148" s="34">
        <f t="shared" si="33"/>
        <v>0</v>
      </c>
      <c r="R148" s="34">
        <f t="shared" si="33"/>
        <v>0</v>
      </c>
      <c r="S148" s="34">
        <f t="shared" si="33"/>
        <v>0</v>
      </c>
      <c r="T148" s="34">
        <f t="shared" si="33"/>
        <v>0</v>
      </c>
      <c r="U148" s="34">
        <f t="shared" si="33"/>
        <v>0</v>
      </c>
      <c r="V148" s="34">
        <f t="shared" si="27"/>
        <v>0</v>
      </c>
    </row>
    <row r="149" spans="2:25" ht="21">
      <c r="B149" s="27" t="s">
        <v>640</v>
      </c>
      <c r="C149" s="33" t="s">
        <v>635</v>
      </c>
      <c r="D149" s="33" t="s">
        <v>359</v>
      </c>
      <c r="E149" s="33" t="s">
        <v>639</v>
      </c>
      <c r="F149" s="33"/>
      <c r="G149" s="34">
        <f t="shared" ref="G149:U149" si="34">IF(AND($H$94="Yes",OR($H$88="AD",$H$89="AD")),IF(ISNUMBER($H$85),G$117*N(G140)*$H$85,N(G138)*G141*$F$36*G$120/365)*N($F$53)*(44/28)*$F$31/1000,0)</f>
        <v>0</v>
      </c>
      <c r="H149" s="34">
        <f t="shared" si="34"/>
        <v>0</v>
      </c>
      <c r="I149" s="34">
        <f t="shared" si="34"/>
        <v>0</v>
      </c>
      <c r="J149" s="34">
        <f t="shared" si="34"/>
        <v>0</v>
      </c>
      <c r="K149" s="34">
        <f t="shared" si="34"/>
        <v>0</v>
      </c>
      <c r="L149" s="34">
        <f t="shared" si="34"/>
        <v>0</v>
      </c>
      <c r="M149" s="34">
        <f t="shared" si="34"/>
        <v>0</v>
      </c>
      <c r="N149" s="34">
        <f t="shared" si="34"/>
        <v>0</v>
      </c>
      <c r="O149" s="34">
        <f t="shared" si="34"/>
        <v>0</v>
      </c>
      <c r="P149" s="34">
        <f t="shared" si="34"/>
        <v>0</v>
      </c>
      <c r="Q149" s="34">
        <f t="shared" si="34"/>
        <v>0</v>
      </c>
      <c r="R149" s="34">
        <f t="shared" si="34"/>
        <v>0</v>
      </c>
      <c r="S149" s="34">
        <f t="shared" si="34"/>
        <v>0</v>
      </c>
      <c r="T149" s="34">
        <f t="shared" si="34"/>
        <v>0</v>
      </c>
      <c r="U149" s="34">
        <f t="shared" si="34"/>
        <v>0</v>
      </c>
      <c r="V149" s="34">
        <f t="shared" si="27"/>
        <v>0</v>
      </c>
    </row>
    <row r="150" spans="2:25" ht="22.5">
      <c r="B150" s="27" t="s">
        <v>641</v>
      </c>
      <c r="C150" s="33"/>
      <c r="D150" s="33" t="s">
        <v>359</v>
      </c>
      <c r="E150" s="33" t="s">
        <v>642</v>
      </c>
      <c r="F150" s="33"/>
      <c r="G150" s="34">
        <f t="shared" ref="G150:U150" si="35">G143*(1-G$121)*N(G$200)*N(G$201)-(G144+G145+G146+G147+G148+G149)</f>
        <v>-0.56235880102528579</v>
      </c>
      <c r="H150" s="34">
        <f t="shared" si="35"/>
        <v>-0.42795976569472494</v>
      </c>
      <c r="I150" s="34">
        <f t="shared" si="35"/>
        <v>-0.42795976569472494</v>
      </c>
      <c r="J150" s="34">
        <f t="shared" si="35"/>
        <v>-0.42795976569472494</v>
      </c>
      <c r="K150" s="34">
        <f t="shared" si="35"/>
        <v>-0.42795976569472494</v>
      </c>
      <c r="L150" s="34">
        <f t="shared" si="35"/>
        <v>-0.42795976569472494</v>
      </c>
      <c r="M150" s="34">
        <f t="shared" si="35"/>
        <v>-0.42795976569472494</v>
      </c>
      <c r="N150" s="34">
        <f t="shared" si="35"/>
        <v>-0.42795976569472494</v>
      </c>
      <c r="O150" s="34">
        <f t="shared" si="35"/>
        <v>0</v>
      </c>
      <c r="P150" s="34">
        <f t="shared" si="35"/>
        <v>0</v>
      </c>
      <c r="Q150" s="34">
        <f t="shared" si="35"/>
        <v>0</v>
      </c>
      <c r="R150" s="34">
        <f t="shared" si="35"/>
        <v>0</v>
      </c>
      <c r="S150" s="34">
        <f t="shared" si="35"/>
        <v>0</v>
      </c>
      <c r="T150" s="34">
        <f t="shared" si="35"/>
        <v>0</v>
      </c>
      <c r="U150" s="34">
        <f t="shared" si="35"/>
        <v>0</v>
      </c>
      <c r="V150" s="34">
        <f t="shared" si="27"/>
        <v>-3.5580771608883603</v>
      </c>
    </row>
    <row r="151" spans="2:25" ht="22.5">
      <c r="B151" s="25" t="str">
        <f>"Stratum 3: "&amp;IF(I$74="","not used",I$74)</f>
        <v>Stratum 3: Camp: household pit latrines decommissioned; CBS</v>
      </c>
      <c r="C151" s="25"/>
      <c r="D151" s="25"/>
      <c r="E151" s="25"/>
      <c r="F151" s="25"/>
      <c r="G151" s="26">
        <f t="shared" ref="G151:U151" si="36">G$114</f>
        <v>1</v>
      </c>
      <c r="H151" s="26">
        <f t="shared" si="36"/>
        <v>2</v>
      </c>
      <c r="I151" s="26">
        <f t="shared" si="36"/>
        <v>3</v>
      </c>
      <c r="J151" s="26">
        <f t="shared" si="36"/>
        <v>4</v>
      </c>
      <c r="K151" s="26">
        <f t="shared" si="36"/>
        <v>5</v>
      </c>
      <c r="L151" s="26">
        <f t="shared" si="36"/>
        <v>6</v>
      </c>
      <c r="M151" s="26">
        <f t="shared" si="36"/>
        <v>7</v>
      </c>
      <c r="N151" s="26">
        <f t="shared" si="36"/>
        <v>8</v>
      </c>
      <c r="O151" s="26">
        <f t="shared" si="36"/>
        <v>9</v>
      </c>
      <c r="P151" s="26">
        <f t="shared" si="36"/>
        <v>10</v>
      </c>
      <c r="Q151" s="26">
        <f t="shared" si="36"/>
        <v>11</v>
      </c>
      <c r="R151" s="26">
        <f t="shared" si="36"/>
        <v>12</v>
      </c>
      <c r="S151" s="26">
        <f t="shared" si="36"/>
        <v>13</v>
      </c>
      <c r="T151" s="26">
        <f t="shared" si="36"/>
        <v>14</v>
      </c>
      <c r="U151" s="26">
        <f t="shared" si="36"/>
        <v>15</v>
      </c>
      <c r="V151" s="26" t="s">
        <v>602</v>
      </c>
      <c r="Y151" s="25"/>
    </row>
    <row r="152" spans="2:25">
      <c r="B152" s="27" t="s">
        <v>614</v>
      </c>
      <c r="C152" s="33" t="s">
        <v>615</v>
      </c>
      <c r="D152" s="33" t="s">
        <v>514</v>
      </c>
      <c r="E152" s="33" t="s">
        <v>212</v>
      </c>
      <c r="F152" s="33"/>
      <c r="G152" s="63">
        <v>2000</v>
      </c>
      <c r="H152" s="63">
        <v>3500</v>
      </c>
      <c r="I152" s="63">
        <v>4000</v>
      </c>
      <c r="J152" s="63">
        <v>4000</v>
      </c>
      <c r="K152" s="63">
        <v>4000</v>
      </c>
      <c r="L152" s="63">
        <v>4000</v>
      </c>
      <c r="M152" s="63">
        <v>4000</v>
      </c>
      <c r="N152" s="63">
        <v>4000</v>
      </c>
      <c r="O152" s="63">
        <v>4000</v>
      </c>
      <c r="P152" s="63">
        <v>4000</v>
      </c>
      <c r="Q152" s="63">
        <v>4000</v>
      </c>
      <c r="R152" s="63">
        <v>4000</v>
      </c>
      <c r="S152" s="63">
        <v>4000</v>
      </c>
      <c r="T152" s="63">
        <v>4000</v>
      </c>
      <c r="U152" s="63">
        <v>4000</v>
      </c>
      <c r="V152" s="33"/>
    </row>
    <row r="153" spans="2:25">
      <c r="B153" s="27" t="s">
        <v>617</v>
      </c>
      <c r="C153" s="33" t="s">
        <v>618</v>
      </c>
      <c r="D153" s="33" t="s">
        <v>619</v>
      </c>
      <c r="E153" s="33" t="s">
        <v>255</v>
      </c>
      <c r="F153" s="33"/>
      <c r="G153" s="68"/>
      <c r="H153" s="68"/>
      <c r="I153" s="68"/>
      <c r="J153" s="68"/>
      <c r="K153" s="68"/>
      <c r="L153" s="68"/>
      <c r="M153" s="68"/>
      <c r="N153" s="68"/>
      <c r="O153" s="68"/>
      <c r="P153" s="68"/>
      <c r="Q153" s="68"/>
      <c r="R153" s="68"/>
      <c r="S153" s="68"/>
      <c r="T153" s="68"/>
      <c r="U153" s="68"/>
      <c r="V153" s="43">
        <f>SUMPRODUCT($G$117:$U$117,G153:U153)</f>
        <v>0</v>
      </c>
      <c r="Y153" s="50" t="s">
        <v>620</v>
      </c>
    </row>
    <row r="154" spans="2:25">
      <c r="B154" s="27" t="s">
        <v>621</v>
      </c>
      <c r="C154" s="33" t="s">
        <v>622</v>
      </c>
      <c r="D154" s="33" t="s">
        <v>619</v>
      </c>
      <c r="E154" s="33" t="s">
        <v>168</v>
      </c>
      <c r="F154" s="33"/>
      <c r="G154" s="68"/>
      <c r="H154" s="68"/>
      <c r="I154" s="68"/>
      <c r="J154" s="68"/>
      <c r="K154" s="68"/>
      <c r="L154" s="68"/>
      <c r="M154" s="68"/>
      <c r="N154" s="68"/>
      <c r="O154" s="68"/>
      <c r="P154" s="68"/>
      <c r="Q154" s="68"/>
      <c r="R154" s="68"/>
      <c r="S154" s="68"/>
      <c r="T154" s="68"/>
      <c r="U154" s="68"/>
      <c r="V154" s="43">
        <f>SUMPRODUCT($G$117:$U$117,G154:U154)</f>
        <v>0</v>
      </c>
    </row>
    <row r="155" spans="2:25">
      <c r="B155" s="27" t="s">
        <v>624</v>
      </c>
      <c r="C155" s="33" t="s">
        <v>416</v>
      </c>
      <c r="D155" s="33" t="s">
        <v>398</v>
      </c>
      <c r="E155" s="33" t="s">
        <v>625</v>
      </c>
      <c r="F155" s="33"/>
      <c r="G155" s="45">
        <f t="shared" ref="G155:U155" si="37">IF(OR($I$75="",G$117=0),0,IF($I$77="Septic tank emptied by the activity",$F$33,IF($I$77="Pit latrine emptied by the activity",IF(N(G152)*G$120*$F$22&gt;0,MIN(1,N(G153)*IF(ISNUMBER($I$84),$I$84,$F$32)*1000/(N(G152)*G$120*$F$22)),0),1)))</f>
        <v>1</v>
      </c>
      <c r="H155" s="45">
        <f t="shared" si="37"/>
        <v>1</v>
      </c>
      <c r="I155" s="45">
        <f t="shared" si="37"/>
        <v>1</v>
      </c>
      <c r="J155" s="45">
        <f t="shared" si="37"/>
        <v>1</v>
      </c>
      <c r="K155" s="45">
        <f t="shared" si="37"/>
        <v>1</v>
      </c>
      <c r="L155" s="45">
        <f t="shared" si="37"/>
        <v>1</v>
      </c>
      <c r="M155" s="45">
        <f t="shared" si="37"/>
        <v>1</v>
      </c>
      <c r="N155" s="45">
        <f t="shared" si="37"/>
        <v>1</v>
      </c>
      <c r="O155" s="45">
        <f t="shared" si="37"/>
        <v>0</v>
      </c>
      <c r="P155" s="45">
        <f t="shared" si="37"/>
        <v>0</v>
      </c>
      <c r="Q155" s="45">
        <f t="shared" si="37"/>
        <v>0</v>
      </c>
      <c r="R155" s="45">
        <f t="shared" si="37"/>
        <v>0</v>
      </c>
      <c r="S155" s="45">
        <f t="shared" si="37"/>
        <v>0</v>
      </c>
      <c r="T155" s="45">
        <f t="shared" si="37"/>
        <v>0</v>
      </c>
      <c r="U155" s="45">
        <f t="shared" si="37"/>
        <v>0</v>
      </c>
      <c r="V155" s="33"/>
    </row>
    <row r="156" spans="2:25">
      <c r="B156" s="27" t="s">
        <v>626</v>
      </c>
      <c r="C156" s="33" t="s">
        <v>627</v>
      </c>
      <c r="D156" s="33" t="s">
        <v>359</v>
      </c>
      <c r="E156" s="33" t="s">
        <v>107</v>
      </c>
      <c r="F156" s="33"/>
      <c r="G156" s="34">
        <f t="shared" ref="G156:U156" si="38">IF($I$75="",0,N(G152)*G$120*$F$22*$F$25*$I$80*G155*$F$30/1000)</f>
        <v>45.376800000000003</v>
      </c>
      <c r="H156" s="34">
        <f t="shared" si="38"/>
        <v>79.626960000000011</v>
      </c>
      <c r="I156" s="34">
        <f t="shared" si="38"/>
        <v>90.753600000000006</v>
      </c>
      <c r="J156" s="34">
        <f t="shared" si="38"/>
        <v>90.753600000000006</v>
      </c>
      <c r="K156" s="34">
        <f t="shared" si="38"/>
        <v>90.753600000000006</v>
      </c>
      <c r="L156" s="34">
        <f t="shared" si="38"/>
        <v>91.002239999999986</v>
      </c>
      <c r="M156" s="34">
        <f t="shared" si="38"/>
        <v>90.753600000000006</v>
      </c>
      <c r="N156" s="34">
        <f t="shared" si="38"/>
        <v>90.753600000000006</v>
      </c>
      <c r="O156" s="34">
        <f t="shared" si="38"/>
        <v>0</v>
      </c>
      <c r="P156" s="34">
        <f t="shared" si="38"/>
        <v>0</v>
      </c>
      <c r="Q156" s="34">
        <f t="shared" si="38"/>
        <v>0</v>
      </c>
      <c r="R156" s="34">
        <f t="shared" si="38"/>
        <v>0</v>
      </c>
      <c r="S156" s="34">
        <f t="shared" si="38"/>
        <v>0</v>
      </c>
      <c r="T156" s="34">
        <f t="shared" si="38"/>
        <v>0</v>
      </c>
      <c r="U156" s="34">
        <f t="shared" si="38"/>
        <v>0</v>
      </c>
      <c r="V156" s="34">
        <f t="shared" ref="V156:V164" si="39">SUMPRODUCT($G$117:$U$117,G156:U156)</f>
        <v>669.774</v>
      </c>
    </row>
    <row r="157" spans="2:25">
      <c r="B157" s="27" t="s">
        <v>628</v>
      </c>
      <c r="C157" s="33" t="s">
        <v>629</v>
      </c>
      <c r="D157" s="33" t="s">
        <v>359</v>
      </c>
      <c r="E157" s="33" t="s">
        <v>129</v>
      </c>
      <c r="F157" s="33"/>
      <c r="G157" s="34">
        <f t="shared" ref="G157:U157" si="40">IF($I$75="",0,G156*$I$83)</f>
        <v>25.864775999999999</v>
      </c>
      <c r="H157" s="34">
        <f t="shared" si="40"/>
        <v>45.3873672</v>
      </c>
      <c r="I157" s="34">
        <f t="shared" si="40"/>
        <v>51.729551999999998</v>
      </c>
      <c r="J157" s="34">
        <f t="shared" si="40"/>
        <v>51.729551999999998</v>
      </c>
      <c r="K157" s="34">
        <f t="shared" si="40"/>
        <v>51.729551999999998</v>
      </c>
      <c r="L157" s="34">
        <f t="shared" si="40"/>
        <v>51.87127679999999</v>
      </c>
      <c r="M157" s="34">
        <f t="shared" si="40"/>
        <v>51.729551999999998</v>
      </c>
      <c r="N157" s="34">
        <f t="shared" si="40"/>
        <v>51.729551999999998</v>
      </c>
      <c r="O157" s="34">
        <f t="shared" si="40"/>
        <v>0</v>
      </c>
      <c r="P157" s="34">
        <f t="shared" si="40"/>
        <v>0</v>
      </c>
      <c r="Q157" s="34">
        <f t="shared" si="40"/>
        <v>0</v>
      </c>
      <c r="R157" s="34">
        <f t="shared" si="40"/>
        <v>0</v>
      </c>
      <c r="S157" s="34">
        <f t="shared" si="40"/>
        <v>0</v>
      </c>
      <c r="T157" s="34">
        <f t="shared" si="40"/>
        <v>0</v>
      </c>
      <c r="U157" s="34">
        <f t="shared" si="40"/>
        <v>0</v>
      </c>
      <c r="V157" s="34">
        <f t="shared" si="39"/>
        <v>381.77118000000002</v>
      </c>
    </row>
    <row r="158" spans="2:25" ht="21">
      <c r="B158" s="27" t="s">
        <v>630</v>
      </c>
      <c r="C158" s="33" t="s">
        <v>631</v>
      </c>
      <c r="D158" s="33" t="s">
        <v>359</v>
      </c>
      <c r="E158" s="33" t="s">
        <v>632</v>
      </c>
      <c r="F158" s="33"/>
      <c r="G158" s="34">
        <f t="shared" ref="G158:U158" si="41">IF(OR($I$88="FST",$I$88="WW"),N(G152)*G$120*$F$22*$F$25*$I$90*G155*$F$30/1000,0)</f>
        <v>0</v>
      </c>
      <c r="H158" s="34">
        <f t="shared" si="41"/>
        <v>0</v>
      </c>
      <c r="I158" s="34">
        <f t="shared" si="41"/>
        <v>0</v>
      </c>
      <c r="J158" s="34">
        <f t="shared" si="41"/>
        <v>0</v>
      </c>
      <c r="K158" s="34">
        <f t="shared" si="41"/>
        <v>0</v>
      </c>
      <c r="L158" s="34">
        <f t="shared" si="41"/>
        <v>0</v>
      </c>
      <c r="M158" s="34">
        <f t="shared" si="41"/>
        <v>0</v>
      </c>
      <c r="N158" s="34">
        <f t="shared" si="41"/>
        <v>0</v>
      </c>
      <c r="O158" s="34">
        <f t="shared" si="41"/>
        <v>0</v>
      </c>
      <c r="P158" s="34">
        <f t="shared" si="41"/>
        <v>0</v>
      </c>
      <c r="Q158" s="34">
        <f t="shared" si="41"/>
        <v>0</v>
      </c>
      <c r="R158" s="34">
        <f t="shared" si="41"/>
        <v>0</v>
      </c>
      <c r="S158" s="34">
        <f t="shared" si="41"/>
        <v>0</v>
      </c>
      <c r="T158" s="34">
        <f t="shared" si="41"/>
        <v>0</v>
      </c>
      <c r="U158" s="34">
        <f t="shared" si="41"/>
        <v>0</v>
      </c>
      <c r="V158" s="34">
        <f t="shared" si="39"/>
        <v>0</v>
      </c>
    </row>
    <row r="159" spans="2:25" ht="21">
      <c r="B159" s="27" t="s">
        <v>633</v>
      </c>
      <c r="C159" s="33" t="s">
        <v>631</v>
      </c>
      <c r="D159" s="33" t="s">
        <v>359</v>
      </c>
      <c r="E159" s="33" t="s">
        <v>632</v>
      </c>
      <c r="F159" s="33"/>
      <c r="G159" s="34">
        <f t="shared" ref="G159:U159" si="42">IF(OR($I$89="FST",$I$89="WW"),N(G152)*G$120*$F$22*$F$25*$I$91*G155*$F$30/1000,0)</f>
        <v>0</v>
      </c>
      <c r="H159" s="34">
        <f t="shared" si="42"/>
        <v>0</v>
      </c>
      <c r="I159" s="34">
        <f t="shared" si="42"/>
        <v>0</v>
      </c>
      <c r="J159" s="34">
        <f t="shared" si="42"/>
        <v>0</v>
      </c>
      <c r="K159" s="34">
        <f t="shared" si="42"/>
        <v>0</v>
      </c>
      <c r="L159" s="34">
        <f t="shared" si="42"/>
        <v>0</v>
      </c>
      <c r="M159" s="34">
        <f t="shared" si="42"/>
        <v>0</v>
      </c>
      <c r="N159" s="34">
        <f t="shared" si="42"/>
        <v>0</v>
      </c>
      <c r="O159" s="34">
        <f t="shared" si="42"/>
        <v>0</v>
      </c>
      <c r="P159" s="34">
        <f t="shared" si="42"/>
        <v>0</v>
      </c>
      <c r="Q159" s="34">
        <f t="shared" si="42"/>
        <v>0</v>
      </c>
      <c r="R159" s="34">
        <f t="shared" si="42"/>
        <v>0</v>
      </c>
      <c r="S159" s="34">
        <f t="shared" si="42"/>
        <v>0</v>
      </c>
      <c r="T159" s="34">
        <f t="shared" si="42"/>
        <v>0</v>
      </c>
      <c r="U159" s="34">
        <f t="shared" si="42"/>
        <v>0</v>
      </c>
      <c r="V159" s="34">
        <f t="shared" si="39"/>
        <v>0</v>
      </c>
    </row>
    <row r="160" spans="2:25" ht="21">
      <c r="B160" s="27" t="s">
        <v>634</v>
      </c>
      <c r="C160" s="33" t="s">
        <v>635</v>
      </c>
      <c r="D160" s="33" t="s">
        <v>359</v>
      </c>
      <c r="E160" s="33" t="s">
        <v>636</v>
      </c>
      <c r="F160" s="33"/>
      <c r="G160" s="34">
        <f t="shared" ref="G160:U160" si="43">IF(OR($I$88="FST",$I$88="WW"),IF(ISNUMBER($I$85),G$117*N(G154)*$I$85,N(G152)*G155*$F$36*G$120/365)*$I$92*(44/28)*$F$31/1000,0)</f>
        <v>0</v>
      </c>
      <c r="H160" s="34">
        <f t="shared" si="43"/>
        <v>0</v>
      </c>
      <c r="I160" s="34">
        <f t="shared" si="43"/>
        <v>0</v>
      </c>
      <c r="J160" s="34">
        <f t="shared" si="43"/>
        <v>0</v>
      </c>
      <c r="K160" s="34">
        <f t="shared" si="43"/>
        <v>0</v>
      </c>
      <c r="L160" s="34">
        <f t="shared" si="43"/>
        <v>0</v>
      </c>
      <c r="M160" s="34">
        <f t="shared" si="43"/>
        <v>0</v>
      </c>
      <c r="N160" s="34">
        <f t="shared" si="43"/>
        <v>0</v>
      </c>
      <c r="O160" s="34">
        <f t="shared" si="43"/>
        <v>0</v>
      </c>
      <c r="P160" s="34">
        <f t="shared" si="43"/>
        <v>0</v>
      </c>
      <c r="Q160" s="34">
        <f t="shared" si="43"/>
        <v>0</v>
      </c>
      <c r="R160" s="34">
        <f t="shared" si="43"/>
        <v>0</v>
      </c>
      <c r="S160" s="34">
        <f t="shared" si="43"/>
        <v>0</v>
      </c>
      <c r="T160" s="34">
        <f t="shared" si="43"/>
        <v>0</v>
      </c>
      <c r="U160" s="34">
        <f t="shared" si="43"/>
        <v>0</v>
      </c>
      <c r="V160" s="34">
        <f t="shared" si="39"/>
        <v>0</v>
      </c>
    </row>
    <row r="161" spans="2:25" ht="21">
      <c r="B161" s="27" t="s">
        <v>637</v>
      </c>
      <c r="C161" s="33" t="s">
        <v>635</v>
      </c>
      <c r="D161" s="33" t="s">
        <v>359</v>
      </c>
      <c r="E161" s="33" t="s">
        <v>636</v>
      </c>
      <c r="F161" s="33"/>
      <c r="G161" s="34">
        <f t="shared" ref="G161:U161" si="44">IF(OR($I$89="FST",$I$89="WW"),IF(ISNUMBER($I$85),G$117*N(G154)*$I$85,N(G152)*G155*$F$36*G$120/365)*$I$93*(44/28)*$F$31/1000,0)</f>
        <v>0</v>
      </c>
      <c r="H161" s="34">
        <f t="shared" si="44"/>
        <v>0</v>
      </c>
      <c r="I161" s="34">
        <f t="shared" si="44"/>
        <v>0</v>
      </c>
      <c r="J161" s="34">
        <f t="shared" si="44"/>
        <v>0</v>
      </c>
      <c r="K161" s="34">
        <f t="shared" si="44"/>
        <v>0</v>
      </c>
      <c r="L161" s="34">
        <f t="shared" si="44"/>
        <v>0</v>
      </c>
      <c r="M161" s="34">
        <f t="shared" si="44"/>
        <v>0</v>
      </c>
      <c r="N161" s="34">
        <f t="shared" si="44"/>
        <v>0</v>
      </c>
      <c r="O161" s="34">
        <f t="shared" si="44"/>
        <v>0</v>
      </c>
      <c r="P161" s="34">
        <f t="shared" si="44"/>
        <v>0</v>
      </c>
      <c r="Q161" s="34">
        <f t="shared" si="44"/>
        <v>0</v>
      </c>
      <c r="R161" s="34">
        <f t="shared" si="44"/>
        <v>0</v>
      </c>
      <c r="S161" s="34">
        <f t="shared" si="44"/>
        <v>0</v>
      </c>
      <c r="T161" s="34">
        <f t="shared" si="44"/>
        <v>0</v>
      </c>
      <c r="U161" s="34">
        <f t="shared" si="44"/>
        <v>0</v>
      </c>
      <c r="V161" s="34">
        <f t="shared" si="39"/>
        <v>0</v>
      </c>
    </row>
    <row r="162" spans="2:25" ht="21">
      <c r="B162" s="27" t="s">
        <v>638</v>
      </c>
      <c r="C162" s="33" t="s">
        <v>635</v>
      </c>
      <c r="D162" s="33" t="s">
        <v>359</v>
      </c>
      <c r="E162" s="33" t="s">
        <v>639</v>
      </c>
      <c r="F162" s="33"/>
      <c r="G162" s="34">
        <f t="shared" ref="G162:U162" si="45">IF(ISNUMBER($I$85),G$117*N(G154)*$I$85,N(G152)*G155*$F$36*G$120/365)*N($I$95)*$F$54*(44/28)*$F$31/1000</f>
        <v>0</v>
      </c>
      <c r="H162" s="34">
        <f t="shared" si="45"/>
        <v>0</v>
      </c>
      <c r="I162" s="34">
        <f t="shared" si="45"/>
        <v>0</v>
      </c>
      <c r="J162" s="34">
        <f t="shared" si="45"/>
        <v>0</v>
      </c>
      <c r="K162" s="34">
        <f t="shared" si="45"/>
        <v>0</v>
      </c>
      <c r="L162" s="34">
        <f t="shared" si="45"/>
        <v>0</v>
      </c>
      <c r="M162" s="34">
        <f t="shared" si="45"/>
        <v>0</v>
      </c>
      <c r="N162" s="34">
        <f t="shared" si="45"/>
        <v>0</v>
      </c>
      <c r="O162" s="34">
        <f t="shared" si="45"/>
        <v>0</v>
      </c>
      <c r="P162" s="34">
        <f t="shared" si="45"/>
        <v>0</v>
      </c>
      <c r="Q162" s="34">
        <f t="shared" si="45"/>
        <v>0</v>
      </c>
      <c r="R162" s="34">
        <f t="shared" si="45"/>
        <v>0</v>
      </c>
      <c r="S162" s="34">
        <f t="shared" si="45"/>
        <v>0</v>
      </c>
      <c r="T162" s="34">
        <f t="shared" si="45"/>
        <v>0</v>
      </c>
      <c r="U162" s="34">
        <f t="shared" si="45"/>
        <v>0</v>
      </c>
      <c r="V162" s="34">
        <f t="shared" si="39"/>
        <v>0</v>
      </c>
    </row>
    <row r="163" spans="2:25" ht="21">
      <c r="B163" s="27" t="s">
        <v>640</v>
      </c>
      <c r="C163" s="33" t="s">
        <v>635</v>
      </c>
      <c r="D163" s="33" t="s">
        <v>359</v>
      </c>
      <c r="E163" s="33" t="s">
        <v>639</v>
      </c>
      <c r="F163" s="33"/>
      <c r="G163" s="34">
        <f t="shared" ref="G163:U163" si="46">IF(AND($I$94="Yes",OR($I$88="AD",$I$89="AD")),IF(ISNUMBER($I$85),G$117*N(G154)*$I$85,N(G152)*G155*$F$36*G$120/365)*N($F$53)*(44/28)*$F$31/1000,0)</f>
        <v>0</v>
      </c>
      <c r="H163" s="34">
        <f t="shared" si="46"/>
        <v>0</v>
      </c>
      <c r="I163" s="34">
        <f t="shared" si="46"/>
        <v>0</v>
      </c>
      <c r="J163" s="34">
        <f t="shared" si="46"/>
        <v>0</v>
      </c>
      <c r="K163" s="34">
        <f t="shared" si="46"/>
        <v>0</v>
      </c>
      <c r="L163" s="34">
        <f t="shared" si="46"/>
        <v>0</v>
      </c>
      <c r="M163" s="34">
        <f t="shared" si="46"/>
        <v>0</v>
      </c>
      <c r="N163" s="34">
        <f t="shared" si="46"/>
        <v>0</v>
      </c>
      <c r="O163" s="34">
        <f t="shared" si="46"/>
        <v>0</v>
      </c>
      <c r="P163" s="34">
        <f t="shared" si="46"/>
        <v>0</v>
      </c>
      <c r="Q163" s="34">
        <f t="shared" si="46"/>
        <v>0</v>
      </c>
      <c r="R163" s="34">
        <f t="shared" si="46"/>
        <v>0</v>
      </c>
      <c r="S163" s="34">
        <f t="shared" si="46"/>
        <v>0</v>
      </c>
      <c r="T163" s="34">
        <f t="shared" si="46"/>
        <v>0</v>
      </c>
      <c r="U163" s="34">
        <f t="shared" si="46"/>
        <v>0</v>
      </c>
      <c r="V163" s="34">
        <f t="shared" si="39"/>
        <v>0</v>
      </c>
    </row>
    <row r="164" spans="2:25" ht="22.5">
      <c r="B164" s="27" t="s">
        <v>641</v>
      </c>
      <c r="C164" s="33"/>
      <c r="D164" s="33" t="s">
        <v>359</v>
      </c>
      <c r="E164" s="33" t="s">
        <v>642</v>
      </c>
      <c r="F164" s="33"/>
      <c r="G164" s="34">
        <f t="shared" ref="G164:U164" si="47">G157*(1-G$121)*N(G$200)*N(G$201)-(G158+G159+G160+G161+G162+G163)</f>
        <v>20.824951975027201</v>
      </c>
      <c r="H164" s="34">
        <f t="shared" si="47"/>
        <v>37.761628670333572</v>
      </c>
      <c r="I164" s="34">
        <f t="shared" si="47"/>
        <v>43.038234081722877</v>
      </c>
      <c r="J164" s="34">
        <f t="shared" si="47"/>
        <v>43.038234081722877</v>
      </c>
      <c r="K164" s="34">
        <f t="shared" si="47"/>
        <v>43.038234081722877</v>
      </c>
      <c r="L164" s="34">
        <f t="shared" si="47"/>
        <v>43.156147051809789</v>
      </c>
      <c r="M164" s="34">
        <f t="shared" si="47"/>
        <v>43.038234081722877</v>
      </c>
      <c r="N164" s="34">
        <f t="shared" si="47"/>
        <v>43.038234081722877</v>
      </c>
      <c r="O164" s="34">
        <f t="shared" si="47"/>
        <v>0</v>
      </c>
      <c r="P164" s="34">
        <f t="shared" si="47"/>
        <v>0</v>
      </c>
      <c r="Q164" s="34">
        <f t="shared" si="47"/>
        <v>0</v>
      </c>
      <c r="R164" s="34">
        <f t="shared" si="47"/>
        <v>0</v>
      </c>
      <c r="S164" s="34">
        <f t="shared" si="47"/>
        <v>0</v>
      </c>
      <c r="T164" s="34">
        <f t="shared" si="47"/>
        <v>0</v>
      </c>
      <c r="U164" s="34">
        <f t="shared" si="47"/>
        <v>0</v>
      </c>
      <c r="V164" s="34">
        <f t="shared" si="39"/>
        <v>316.93389810578492</v>
      </c>
    </row>
    <row r="165" spans="2:25" ht="22.5">
      <c r="B165" s="25" t="str">
        <f>"Stratum 4: "&amp;IF(J$74="","not used",J$74)</f>
        <v>Stratum 4: Camp: open defecation, baselined on the settlement mix (Section 7.3.5(a)(i))</v>
      </c>
      <c r="C165" s="25"/>
      <c r="D165" s="25"/>
      <c r="E165" s="25"/>
      <c r="F165" s="25"/>
      <c r="G165" s="26">
        <f t="shared" ref="G165:U165" si="48">G$114</f>
        <v>1</v>
      </c>
      <c r="H165" s="26">
        <f t="shared" si="48"/>
        <v>2</v>
      </c>
      <c r="I165" s="26">
        <f t="shared" si="48"/>
        <v>3</v>
      </c>
      <c r="J165" s="26">
        <f t="shared" si="48"/>
        <v>4</v>
      </c>
      <c r="K165" s="26">
        <f t="shared" si="48"/>
        <v>5</v>
      </c>
      <c r="L165" s="26">
        <f t="shared" si="48"/>
        <v>6</v>
      </c>
      <c r="M165" s="26">
        <f t="shared" si="48"/>
        <v>7</v>
      </c>
      <c r="N165" s="26">
        <f t="shared" si="48"/>
        <v>8</v>
      </c>
      <c r="O165" s="26">
        <f t="shared" si="48"/>
        <v>9</v>
      </c>
      <c r="P165" s="26">
        <f t="shared" si="48"/>
        <v>10</v>
      </c>
      <c r="Q165" s="26">
        <f t="shared" si="48"/>
        <v>11</v>
      </c>
      <c r="R165" s="26">
        <f t="shared" si="48"/>
        <v>12</v>
      </c>
      <c r="S165" s="26">
        <f t="shared" si="48"/>
        <v>13</v>
      </c>
      <c r="T165" s="26">
        <f t="shared" si="48"/>
        <v>14</v>
      </c>
      <c r="U165" s="26">
        <f t="shared" si="48"/>
        <v>15</v>
      </c>
      <c r="V165" s="26" t="s">
        <v>602</v>
      </c>
      <c r="Y165" s="25"/>
    </row>
    <row r="166" spans="2:25">
      <c r="B166" s="27" t="s">
        <v>614</v>
      </c>
      <c r="C166" s="33" t="s">
        <v>615</v>
      </c>
      <c r="D166" s="33" t="s">
        <v>514</v>
      </c>
      <c r="E166" s="33" t="s">
        <v>212</v>
      </c>
      <c r="F166" s="33"/>
      <c r="G166" s="63">
        <v>2000</v>
      </c>
      <c r="H166" s="63">
        <v>2000</v>
      </c>
      <c r="I166" s="63">
        <v>1500</v>
      </c>
      <c r="J166" s="63">
        <v>1000</v>
      </c>
      <c r="K166" s="63">
        <v>800</v>
      </c>
      <c r="L166" s="63">
        <v>800</v>
      </c>
      <c r="M166" s="63">
        <v>800</v>
      </c>
      <c r="N166" s="63">
        <v>800</v>
      </c>
      <c r="O166" s="63">
        <v>800</v>
      </c>
      <c r="P166" s="63">
        <v>800</v>
      </c>
      <c r="Q166" s="63">
        <v>800</v>
      </c>
      <c r="R166" s="63">
        <v>800</v>
      </c>
      <c r="S166" s="63">
        <v>800</v>
      </c>
      <c r="T166" s="63">
        <v>800</v>
      </c>
      <c r="U166" s="63">
        <v>800</v>
      </c>
      <c r="V166" s="33"/>
    </row>
    <row r="167" spans="2:25">
      <c r="B167" s="27" t="s">
        <v>617</v>
      </c>
      <c r="C167" s="33" t="s">
        <v>618</v>
      </c>
      <c r="D167" s="33" t="s">
        <v>619</v>
      </c>
      <c r="E167" s="33" t="s">
        <v>255</v>
      </c>
      <c r="F167" s="33"/>
      <c r="G167" s="68"/>
      <c r="H167" s="68"/>
      <c r="I167" s="68"/>
      <c r="J167" s="68"/>
      <c r="K167" s="68"/>
      <c r="L167" s="68"/>
      <c r="M167" s="68"/>
      <c r="N167" s="68"/>
      <c r="O167" s="68"/>
      <c r="P167" s="68"/>
      <c r="Q167" s="68"/>
      <c r="R167" s="68"/>
      <c r="S167" s="68"/>
      <c r="T167" s="68"/>
      <c r="U167" s="68"/>
      <c r="V167" s="43">
        <f>SUMPRODUCT($G$117:$U$117,G167:U167)</f>
        <v>0</v>
      </c>
      <c r="Y167" s="50" t="s">
        <v>620</v>
      </c>
    </row>
    <row r="168" spans="2:25">
      <c r="B168" s="27" t="s">
        <v>621</v>
      </c>
      <c r="C168" s="33" t="s">
        <v>622</v>
      </c>
      <c r="D168" s="33" t="s">
        <v>619</v>
      </c>
      <c r="E168" s="33" t="s">
        <v>168</v>
      </c>
      <c r="F168" s="33"/>
      <c r="G168" s="68"/>
      <c r="H168" s="68"/>
      <c r="I168" s="68"/>
      <c r="J168" s="68"/>
      <c r="K168" s="68"/>
      <c r="L168" s="68"/>
      <c r="M168" s="68"/>
      <c r="N168" s="68"/>
      <c r="O168" s="68"/>
      <c r="P168" s="68"/>
      <c r="Q168" s="68"/>
      <c r="R168" s="68"/>
      <c r="S168" s="68"/>
      <c r="T168" s="68"/>
      <c r="U168" s="68"/>
      <c r="V168" s="43">
        <f>SUMPRODUCT($G$117:$U$117,G168:U168)</f>
        <v>0</v>
      </c>
    </row>
    <row r="169" spans="2:25">
      <c r="B169" s="27" t="s">
        <v>624</v>
      </c>
      <c r="C169" s="33" t="s">
        <v>416</v>
      </c>
      <c r="D169" s="33" t="s">
        <v>398</v>
      </c>
      <c r="E169" s="33" t="s">
        <v>625</v>
      </c>
      <c r="F169" s="33"/>
      <c r="G169" s="45">
        <f t="shared" ref="G169:U169" si="49">IF(OR($J$75="",G$117=0),0,IF($J$77="Septic tank emptied by the activity",$F$33,IF($J$77="Pit latrine emptied by the activity",IF(N(G166)*G$120*$F$22&gt;0,MIN(1,N(G167)*IF(ISNUMBER($J$84),$J$84,$F$32)*1000/(N(G166)*G$120*$F$22)),0),1)))</f>
        <v>1</v>
      </c>
      <c r="H169" s="45">
        <f t="shared" si="49"/>
        <v>1</v>
      </c>
      <c r="I169" s="45">
        <f t="shared" si="49"/>
        <v>1</v>
      </c>
      <c r="J169" s="45">
        <f t="shared" si="49"/>
        <v>1</v>
      </c>
      <c r="K169" s="45">
        <f t="shared" si="49"/>
        <v>1</v>
      </c>
      <c r="L169" s="45">
        <f t="shared" si="49"/>
        <v>1</v>
      </c>
      <c r="M169" s="45">
        <f t="shared" si="49"/>
        <v>1</v>
      </c>
      <c r="N169" s="45">
        <f t="shared" si="49"/>
        <v>1</v>
      </c>
      <c r="O169" s="45">
        <f t="shared" si="49"/>
        <v>0</v>
      </c>
      <c r="P169" s="45">
        <f t="shared" si="49"/>
        <v>0</v>
      </c>
      <c r="Q169" s="45">
        <f t="shared" si="49"/>
        <v>0</v>
      </c>
      <c r="R169" s="45">
        <f t="shared" si="49"/>
        <v>0</v>
      </c>
      <c r="S169" s="45">
        <f t="shared" si="49"/>
        <v>0</v>
      </c>
      <c r="T169" s="45">
        <f t="shared" si="49"/>
        <v>0</v>
      </c>
      <c r="U169" s="45">
        <f t="shared" si="49"/>
        <v>0</v>
      </c>
      <c r="V169" s="33"/>
    </row>
    <row r="170" spans="2:25">
      <c r="B170" s="27" t="s">
        <v>626</v>
      </c>
      <c r="C170" s="33" t="s">
        <v>627</v>
      </c>
      <c r="D170" s="33" t="s">
        <v>359</v>
      </c>
      <c r="E170" s="33" t="s">
        <v>107</v>
      </c>
      <c r="F170" s="33"/>
      <c r="G170" s="34">
        <f t="shared" ref="G170:U170" si="50">IF($J$75="",0,N(G166)*G$120*$F$22*$F$25*$J$80*G169*$F$30/1000)</f>
        <v>43.107959999999999</v>
      </c>
      <c r="H170" s="34">
        <f t="shared" si="50"/>
        <v>43.226064000000001</v>
      </c>
      <c r="I170" s="34">
        <f t="shared" si="50"/>
        <v>32.330970000000001</v>
      </c>
      <c r="J170" s="34">
        <f t="shared" si="50"/>
        <v>21.553979999999999</v>
      </c>
      <c r="K170" s="34">
        <f t="shared" si="50"/>
        <v>17.243183999999999</v>
      </c>
      <c r="L170" s="34">
        <f t="shared" si="50"/>
        <v>17.290425600000003</v>
      </c>
      <c r="M170" s="34">
        <f t="shared" si="50"/>
        <v>17.243183999999999</v>
      </c>
      <c r="N170" s="34">
        <f t="shared" si="50"/>
        <v>17.243183999999999</v>
      </c>
      <c r="O170" s="34">
        <f t="shared" si="50"/>
        <v>0</v>
      </c>
      <c r="P170" s="34">
        <f t="shared" si="50"/>
        <v>0</v>
      </c>
      <c r="Q170" s="34">
        <f t="shared" si="50"/>
        <v>0</v>
      </c>
      <c r="R170" s="34">
        <f t="shared" si="50"/>
        <v>0</v>
      </c>
      <c r="S170" s="34">
        <f t="shared" si="50"/>
        <v>0</v>
      </c>
      <c r="T170" s="34">
        <f t="shared" si="50"/>
        <v>0</v>
      </c>
      <c r="U170" s="34">
        <f t="shared" si="50"/>
        <v>0</v>
      </c>
      <c r="V170" s="34">
        <f t="shared" ref="V170:V178" si="51">SUMPRODUCT($G$117:$U$117,G170:U170)</f>
        <v>209.23895159999995</v>
      </c>
    </row>
    <row r="171" spans="2:25">
      <c r="B171" s="27" t="s">
        <v>628</v>
      </c>
      <c r="C171" s="33" t="s">
        <v>629</v>
      </c>
      <c r="D171" s="33" t="s">
        <v>359</v>
      </c>
      <c r="E171" s="33" t="s">
        <v>129</v>
      </c>
      <c r="F171" s="33"/>
      <c r="G171" s="34">
        <f t="shared" ref="G171:U171" si="52">IF($J$75="",0,G170*$J$83)</f>
        <v>24.618005258456158</v>
      </c>
      <c r="H171" s="34">
        <f t="shared" si="52"/>
        <v>24.685451848205357</v>
      </c>
      <c r="I171" s="34">
        <f t="shared" si="52"/>
        <v>18.46350394384212</v>
      </c>
      <c r="J171" s="34">
        <f t="shared" si="52"/>
        <v>12.309002629228079</v>
      </c>
      <c r="K171" s="34">
        <f t="shared" si="52"/>
        <v>9.8472021033824646</v>
      </c>
      <c r="L171" s="34">
        <f t="shared" si="52"/>
        <v>9.8741807392821439</v>
      </c>
      <c r="M171" s="34">
        <f t="shared" si="52"/>
        <v>9.8472021033824646</v>
      </c>
      <c r="N171" s="34">
        <f t="shared" si="52"/>
        <v>9.8472021033824646</v>
      </c>
      <c r="O171" s="34">
        <f t="shared" si="52"/>
        <v>0</v>
      </c>
      <c r="P171" s="34">
        <f t="shared" si="52"/>
        <v>0</v>
      </c>
      <c r="Q171" s="34">
        <f t="shared" si="52"/>
        <v>0</v>
      </c>
      <c r="R171" s="34">
        <f t="shared" si="52"/>
        <v>0</v>
      </c>
      <c r="S171" s="34">
        <f t="shared" si="52"/>
        <v>0</v>
      </c>
      <c r="T171" s="34">
        <f t="shared" si="52"/>
        <v>0</v>
      </c>
      <c r="U171" s="34">
        <f t="shared" si="52"/>
        <v>0</v>
      </c>
      <c r="V171" s="34">
        <f t="shared" si="51"/>
        <v>119.49175072916125</v>
      </c>
    </row>
    <row r="172" spans="2:25" ht="21">
      <c r="B172" s="27" t="s">
        <v>630</v>
      </c>
      <c r="C172" s="33" t="s">
        <v>631</v>
      </c>
      <c r="D172" s="33" t="s">
        <v>359</v>
      </c>
      <c r="E172" s="33" t="s">
        <v>632</v>
      </c>
      <c r="F172" s="33"/>
      <c r="G172" s="34">
        <f t="shared" ref="G172:U172" si="53">IF(OR($J$88="FST",$J$88="WW"),N(G166)*G$120*$F$22*$F$25*$J$90*G169*$F$30/1000,0)</f>
        <v>0</v>
      </c>
      <c r="H172" s="34">
        <f t="shared" si="53"/>
        <v>0</v>
      </c>
      <c r="I172" s="34">
        <f t="shared" si="53"/>
        <v>0</v>
      </c>
      <c r="J172" s="34">
        <f t="shared" si="53"/>
        <v>0</v>
      </c>
      <c r="K172" s="34">
        <f t="shared" si="53"/>
        <v>0</v>
      </c>
      <c r="L172" s="34">
        <f t="shared" si="53"/>
        <v>0</v>
      </c>
      <c r="M172" s="34">
        <f t="shared" si="53"/>
        <v>0</v>
      </c>
      <c r="N172" s="34">
        <f t="shared" si="53"/>
        <v>0</v>
      </c>
      <c r="O172" s="34">
        <f t="shared" si="53"/>
        <v>0</v>
      </c>
      <c r="P172" s="34">
        <f t="shared" si="53"/>
        <v>0</v>
      </c>
      <c r="Q172" s="34">
        <f t="shared" si="53"/>
        <v>0</v>
      </c>
      <c r="R172" s="34">
        <f t="shared" si="53"/>
        <v>0</v>
      </c>
      <c r="S172" s="34">
        <f t="shared" si="53"/>
        <v>0</v>
      </c>
      <c r="T172" s="34">
        <f t="shared" si="53"/>
        <v>0</v>
      </c>
      <c r="U172" s="34">
        <f t="shared" si="53"/>
        <v>0</v>
      </c>
      <c r="V172" s="34">
        <f t="shared" si="51"/>
        <v>0</v>
      </c>
    </row>
    <row r="173" spans="2:25" ht="21">
      <c r="B173" s="27" t="s">
        <v>633</v>
      </c>
      <c r="C173" s="33" t="s">
        <v>631</v>
      </c>
      <c r="D173" s="33" t="s">
        <v>359</v>
      </c>
      <c r="E173" s="33" t="s">
        <v>632</v>
      </c>
      <c r="F173" s="33"/>
      <c r="G173" s="34">
        <f t="shared" ref="G173:U173" si="54">IF(OR($J$89="FST",$J$89="WW"),N(G166)*G$120*$F$22*$F$25*$J$91*G169*$F$30/1000,0)</f>
        <v>0</v>
      </c>
      <c r="H173" s="34">
        <f t="shared" si="54"/>
        <v>0</v>
      </c>
      <c r="I173" s="34">
        <f t="shared" si="54"/>
        <v>0</v>
      </c>
      <c r="J173" s="34">
        <f t="shared" si="54"/>
        <v>0</v>
      </c>
      <c r="K173" s="34">
        <f t="shared" si="54"/>
        <v>0</v>
      </c>
      <c r="L173" s="34">
        <f t="shared" si="54"/>
        <v>0</v>
      </c>
      <c r="M173" s="34">
        <f t="shared" si="54"/>
        <v>0</v>
      </c>
      <c r="N173" s="34">
        <f t="shared" si="54"/>
        <v>0</v>
      </c>
      <c r="O173" s="34">
        <f t="shared" si="54"/>
        <v>0</v>
      </c>
      <c r="P173" s="34">
        <f t="shared" si="54"/>
        <v>0</v>
      </c>
      <c r="Q173" s="34">
        <f t="shared" si="54"/>
        <v>0</v>
      </c>
      <c r="R173" s="34">
        <f t="shared" si="54"/>
        <v>0</v>
      </c>
      <c r="S173" s="34">
        <f t="shared" si="54"/>
        <v>0</v>
      </c>
      <c r="T173" s="34">
        <f t="shared" si="54"/>
        <v>0</v>
      </c>
      <c r="U173" s="34">
        <f t="shared" si="54"/>
        <v>0</v>
      </c>
      <c r="V173" s="34">
        <f t="shared" si="51"/>
        <v>0</v>
      </c>
    </row>
    <row r="174" spans="2:25" ht="21">
      <c r="B174" s="27" t="s">
        <v>634</v>
      </c>
      <c r="C174" s="33" t="s">
        <v>635</v>
      </c>
      <c r="D174" s="33" t="s">
        <v>359</v>
      </c>
      <c r="E174" s="33" t="s">
        <v>636</v>
      </c>
      <c r="F174" s="33"/>
      <c r="G174" s="34">
        <f t="shared" ref="G174:U174" si="55">IF(OR($J$88="FST",$J$88="WW"),IF(ISNUMBER($J$85),G$117*N(G168)*$J$85,N(G166)*G169*$F$36*G$120/365)*$J$92*(44/28)*$F$31/1000,0)</f>
        <v>0</v>
      </c>
      <c r="H174" s="34">
        <f t="shared" si="55"/>
        <v>0</v>
      </c>
      <c r="I174" s="34">
        <f t="shared" si="55"/>
        <v>0</v>
      </c>
      <c r="J174" s="34">
        <f t="shared" si="55"/>
        <v>0</v>
      </c>
      <c r="K174" s="34">
        <f t="shared" si="55"/>
        <v>0</v>
      </c>
      <c r="L174" s="34">
        <f t="shared" si="55"/>
        <v>0</v>
      </c>
      <c r="M174" s="34">
        <f t="shared" si="55"/>
        <v>0</v>
      </c>
      <c r="N174" s="34">
        <f t="shared" si="55"/>
        <v>0</v>
      </c>
      <c r="O174" s="34">
        <f t="shared" si="55"/>
        <v>0</v>
      </c>
      <c r="P174" s="34">
        <f t="shared" si="55"/>
        <v>0</v>
      </c>
      <c r="Q174" s="34">
        <f t="shared" si="55"/>
        <v>0</v>
      </c>
      <c r="R174" s="34">
        <f t="shared" si="55"/>
        <v>0</v>
      </c>
      <c r="S174" s="34">
        <f t="shared" si="55"/>
        <v>0</v>
      </c>
      <c r="T174" s="34">
        <f t="shared" si="55"/>
        <v>0</v>
      </c>
      <c r="U174" s="34">
        <f t="shared" si="55"/>
        <v>0</v>
      </c>
      <c r="V174" s="34">
        <f t="shared" si="51"/>
        <v>0</v>
      </c>
    </row>
    <row r="175" spans="2:25" ht="21">
      <c r="B175" s="27" t="s">
        <v>637</v>
      </c>
      <c r="C175" s="33" t="s">
        <v>635</v>
      </c>
      <c r="D175" s="33" t="s">
        <v>359</v>
      </c>
      <c r="E175" s="33" t="s">
        <v>636</v>
      </c>
      <c r="F175" s="33"/>
      <c r="G175" s="34">
        <f t="shared" ref="G175:U175" si="56">IF(OR($J$89="FST",$J$89="WW"),IF(ISNUMBER($J$85),G$117*N(G168)*$J$85,N(G166)*G169*$F$36*G$120/365)*$J$93*(44/28)*$F$31/1000,0)</f>
        <v>0</v>
      </c>
      <c r="H175" s="34">
        <f t="shared" si="56"/>
        <v>0</v>
      </c>
      <c r="I175" s="34">
        <f t="shared" si="56"/>
        <v>0</v>
      </c>
      <c r="J175" s="34">
        <f t="shared" si="56"/>
        <v>0</v>
      </c>
      <c r="K175" s="34">
        <f t="shared" si="56"/>
        <v>0</v>
      </c>
      <c r="L175" s="34">
        <f t="shared" si="56"/>
        <v>0</v>
      </c>
      <c r="M175" s="34">
        <f t="shared" si="56"/>
        <v>0</v>
      </c>
      <c r="N175" s="34">
        <f t="shared" si="56"/>
        <v>0</v>
      </c>
      <c r="O175" s="34">
        <f t="shared" si="56"/>
        <v>0</v>
      </c>
      <c r="P175" s="34">
        <f t="shared" si="56"/>
        <v>0</v>
      </c>
      <c r="Q175" s="34">
        <f t="shared" si="56"/>
        <v>0</v>
      </c>
      <c r="R175" s="34">
        <f t="shared" si="56"/>
        <v>0</v>
      </c>
      <c r="S175" s="34">
        <f t="shared" si="56"/>
        <v>0</v>
      </c>
      <c r="T175" s="34">
        <f t="shared" si="56"/>
        <v>0</v>
      </c>
      <c r="U175" s="34">
        <f t="shared" si="56"/>
        <v>0</v>
      </c>
      <c r="V175" s="34">
        <f t="shared" si="51"/>
        <v>0</v>
      </c>
    </row>
    <row r="176" spans="2:25" ht="21">
      <c r="B176" s="27" t="s">
        <v>638</v>
      </c>
      <c r="C176" s="33" t="s">
        <v>635</v>
      </c>
      <c r="D176" s="33" t="s">
        <v>359</v>
      </c>
      <c r="E176" s="33" t="s">
        <v>639</v>
      </c>
      <c r="F176" s="33"/>
      <c r="G176" s="34">
        <f t="shared" ref="G176:U176" si="57">IF(ISNUMBER($J$85),G$117*N(G168)*$J$85,N(G166)*G169*$F$36*G$120/365)*N($J$95)*$F$54*(44/28)*$F$31/1000</f>
        <v>0</v>
      </c>
      <c r="H176" s="34">
        <f t="shared" si="57"/>
        <v>0</v>
      </c>
      <c r="I176" s="34">
        <f t="shared" si="57"/>
        <v>0</v>
      </c>
      <c r="J176" s="34">
        <f t="shared" si="57"/>
        <v>0</v>
      </c>
      <c r="K176" s="34">
        <f t="shared" si="57"/>
        <v>0</v>
      </c>
      <c r="L176" s="34">
        <f t="shared" si="57"/>
        <v>0</v>
      </c>
      <c r="M176" s="34">
        <f t="shared" si="57"/>
        <v>0</v>
      </c>
      <c r="N176" s="34">
        <f t="shared" si="57"/>
        <v>0</v>
      </c>
      <c r="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25" ht="21">
      <c r="B177" s="27" t="s">
        <v>640</v>
      </c>
      <c r="C177" s="33" t="s">
        <v>635</v>
      </c>
      <c r="D177" s="33" t="s">
        <v>359</v>
      </c>
      <c r="E177" s="33" t="s">
        <v>639</v>
      </c>
      <c r="F177" s="33"/>
      <c r="G177" s="34">
        <f t="shared" ref="G177:U177" si="58">IF(AND($J$94="Yes",OR($J$88="AD",$J$89="AD")),IF(ISNUMBER($J$85),G$117*N(G168)*$J$85,N(G166)*G169*$F$36*G$120/365)*N($F$53)*(44/28)*$F$31/1000,0)</f>
        <v>0</v>
      </c>
      <c r="H177" s="34">
        <f t="shared" si="58"/>
        <v>0</v>
      </c>
      <c r="I177" s="34">
        <f t="shared" si="58"/>
        <v>0</v>
      </c>
      <c r="J177" s="34">
        <f t="shared" si="58"/>
        <v>0</v>
      </c>
      <c r="K177" s="34">
        <f t="shared" si="58"/>
        <v>0</v>
      </c>
      <c r="L177" s="34">
        <f t="shared" si="58"/>
        <v>0</v>
      </c>
      <c r="M177" s="34">
        <f t="shared" si="58"/>
        <v>0</v>
      </c>
      <c r="N177" s="34">
        <f t="shared" si="58"/>
        <v>0</v>
      </c>
      <c r="O177" s="34">
        <f t="shared" si="58"/>
        <v>0</v>
      </c>
      <c r="P177" s="34">
        <f t="shared" si="58"/>
        <v>0</v>
      </c>
      <c r="Q177" s="34">
        <f t="shared" si="58"/>
        <v>0</v>
      </c>
      <c r="R177" s="34">
        <f t="shared" si="58"/>
        <v>0</v>
      </c>
      <c r="S177" s="34">
        <f t="shared" si="58"/>
        <v>0</v>
      </c>
      <c r="T177" s="34">
        <f t="shared" si="58"/>
        <v>0</v>
      </c>
      <c r="U177" s="34">
        <f t="shared" si="58"/>
        <v>0</v>
      </c>
      <c r="V177" s="34">
        <f t="shared" si="51"/>
        <v>0</v>
      </c>
    </row>
    <row r="178" spans="2:25" ht="22.5">
      <c r="B178" s="27" t="s">
        <v>641</v>
      </c>
      <c r="C178" s="33"/>
      <c r="D178" s="33" t="s">
        <v>359</v>
      </c>
      <c r="E178" s="33" t="s">
        <v>642</v>
      </c>
      <c r="F178" s="33"/>
      <c r="G178" s="34">
        <f t="shared" ref="G178:U178" si="59">G171*(1-G$121)*N(G$200)*N(G$201)-(G172+G173+G174+G175+G176+G177)</f>
        <v>19.821118003431256</v>
      </c>
      <c r="H178" s="34">
        <f t="shared" si="59"/>
        <v>20.53793651752795</v>
      </c>
      <c r="I178" s="34">
        <f t="shared" si="59"/>
        <v>15.361366452659224</v>
      </c>
      <c r="J178" s="34">
        <f t="shared" si="59"/>
        <v>10.240910968439483</v>
      </c>
      <c r="K178" s="34">
        <f t="shared" si="59"/>
        <v>8.192728774751588</v>
      </c>
      <c r="L178" s="34">
        <f t="shared" si="59"/>
        <v>8.2151746070111802</v>
      </c>
      <c r="M178" s="34">
        <f t="shared" si="59"/>
        <v>8.192728774751588</v>
      </c>
      <c r="N178" s="34">
        <f t="shared" si="59"/>
        <v>8.192728774751588</v>
      </c>
      <c r="O178" s="34">
        <f t="shared" si="59"/>
        <v>0</v>
      </c>
      <c r="P178" s="34">
        <f t="shared" si="59"/>
        <v>0</v>
      </c>
      <c r="Q178" s="34">
        <f t="shared" si="59"/>
        <v>0</v>
      </c>
      <c r="R178" s="34">
        <f t="shared" si="59"/>
        <v>0</v>
      </c>
      <c r="S178" s="34">
        <f t="shared" si="59"/>
        <v>0</v>
      </c>
      <c r="T178" s="34">
        <f t="shared" si="59"/>
        <v>0</v>
      </c>
      <c r="U178" s="34">
        <f t="shared" si="59"/>
        <v>0</v>
      </c>
      <c r="V178" s="34">
        <f t="shared" si="51"/>
        <v>98.754692873323847</v>
      </c>
    </row>
    <row r="179" spans="2:25" ht="22.5">
      <c r="B179" s="25" t="str">
        <f>"Stratum 5: "&amp;IF(K$74="","not used",K$74)</f>
        <v>Stratum 5: Host community: septic tanks emptied; dewatering and co-composting</v>
      </c>
      <c r="C179" s="25"/>
      <c r="D179" s="25"/>
      <c r="E179" s="25"/>
      <c r="F179" s="25"/>
      <c r="G179" s="26">
        <f t="shared" ref="G179:U179" si="60">G$114</f>
        <v>1</v>
      </c>
      <c r="H179" s="26">
        <f t="shared" si="60"/>
        <v>2</v>
      </c>
      <c r="I179" s="26">
        <f t="shared" si="60"/>
        <v>3</v>
      </c>
      <c r="J179" s="26">
        <f t="shared" si="60"/>
        <v>4</v>
      </c>
      <c r="K179" s="26">
        <f t="shared" si="60"/>
        <v>5</v>
      </c>
      <c r="L179" s="26">
        <f t="shared" si="60"/>
        <v>6</v>
      </c>
      <c r="M179" s="26">
        <f t="shared" si="60"/>
        <v>7</v>
      </c>
      <c r="N179" s="26">
        <f t="shared" si="60"/>
        <v>8</v>
      </c>
      <c r="O179" s="26">
        <f t="shared" si="60"/>
        <v>9</v>
      </c>
      <c r="P179" s="26">
        <f t="shared" si="60"/>
        <v>10</v>
      </c>
      <c r="Q179" s="26">
        <f t="shared" si="60"/>
        <v>11</v>
      </c>
      <c r="R179" s="26">
        <f t="shared" si="60"/>
        <v>12</v>
      </c>
      <c r="S179" s="26">
        <f t="shared" si="60"/>
        <v>13</v>
      </c>
      <c r="T179" s="26">
        <f t="shared" si="60"/>
        <v>14</v>
      </c>
      <c r="U179" s="26">
        <f t="shared" si="60"/>
        <v>15</v>
      </c>
      <c r="V179" s="26" t="s">
        <v>602</v>
      </c>
      <c r="Y179" s="25"/>
    </row>
    <row r="180" spans="2:25">
      <c r="B180" s="27" t="s">
        <v>614</v>
      </c>
      <c r="C180" s="33" t="s">
        <v>615</v>
      </c>
      <c r="D180" s="33" t="s">
        <v>514</v>
      </c>
      <c r="E180" s="33" t="s">
        <v>212</v>
      </c>
      <c r="F180" s="33"/>
      <c r="G180" s="63">
        <v>3000</v>
      </c>
      <c r="H180" s="63">
        <v>5000</v>
      </c>
      <c r="I180" s="63">
        <v>6000</v>
      </c>
      <c r="J180" s="63">
        <v>6000</v>
      </c>
      <c r="K180" s="63">
        <v>6000</v>
      </c>
      <c r="L180" s="63">
        <v>6000</v>
      </c>
      <c r="M180" s="63">
        <v>6000</v>
      </c>
      <c r="N180" s="63">
        <v>6000</v>
      </c>
      <c r="O180" s="63">
        <v>6000</v>
      </c>
      <c r="P180" s="63">
        <v>6000</v>
      </c>
      <c r="Q180" s="63">
        <v>6000</v>
      </c>
      <c r="R180" s="63">
        <v>6000</v>
      </c>
      <c r="S180" s="63">
        <v>6000</v>
      </c>
      <c r="T180" s="63">
        <v>6000</v>
      </c>
      <c r="U180" s="63">
        <v>6000</v>
      </c>
      <c r="V180" s="33"/>
    </row>
    <row r="181" spans="2:25">
      <c r="B181" s="27" t="s">
        <v>617</v>
      </c>
      <c r="C181" s="33" t="s">
        <v>618</v>
      </c>
      <c r="D181" s="33" t="s">
        <v>619</v>
      </c>
      <c r="E181" s="33" t="s">
        <v>255</v>
      </c>
      <c r="F181" s="33"/>
      <c r="G181" s="68"/>
      <c r="H181" s="68"/>
      <c r="I181" s="68"/>
      <c r="J181" s="68"/>
      <c r="K181" s="68"/>
      <c r="L181" s="68"/>
      <c r="M181" s="68"/>
      <c r="N181" s="68"/>
      <c r="O181" s="68"/>
      <c r="P181" s="68"/>
      <c r="Q181" s="68"/>
      <c r="R181" s="68"/>
      <c r="S181" s="68"/>
      <c r="T181" s="68"/>
      <c r="U181" s="68"/>
      <c r="V181" s="43">
        <f>SUMPRODUCT($G$117:$U$117,G181:U181)</f>
        <v>0</v>
      </c>
      <c r="Y181" s="50" t="s">
        <v>620</v>
      </c>
    </row>
    <row r="182" spans="2:25">
      <c r="B182" s="27" t="s">
        <v>621</v>
      </c>
      <c r="C182" s="33" t="s">
        <v>622</v>
      </c>
      <c r="D182" s="33" t="s">
        <v>619</v>
      </c>
      <c r="E182" s="33" t="s">
        <v>168</v>
      </c>
      <c r="F182" s="33"/>
      <c r="G182" s="68"/>
      <c r="H182" s="68"/>
      <c r="I182" s="68"/>
      <c r="J182" s="68"/>
      <c r="K182" s="68"/>
      <c r="L182" s="68"/>
      <c r="M182" s="68"/>
      <c r="N182" s="68"/>
      <c r="O182" s="68"/>
      <c r="P182" s="68"/>
      <c r="Q182" s="68"/>
      <c r="R182" s="68"/>
      <c r="S182" s="68"/>
      <c r="T182" s="68"/>
      <c r="U182" s="68"/>
      <c r="V182" s="43">
        <f>SUMPRODUCT($G$117:$U$117,G182:U182)</f>
        <v>0</v>
      </c>
    </row>
    <row r="183" spans="2:25">
      <c r="B183" s="27" t="s">
        <v>624</v>
      </c>
      <c r="C183" s="33" t="s">
        <v>416</v>
      </c>
      <c r="D183" s="33" t="s">
        <v>398</v>
      </c>
      <c r="E183" s="33" t="s">
        <v>625</v>
      </c>
      <c r="F183" s="33"/>
      <c r="G183" s="45">
        <f t="shared" ref="G183:U183" si="61">IF(OR($K$75="",G$117=0),0,IF($K$77="Septic tank emptied by the activity",$F$33,IF($K$77="Pit latrine emptied by the activity",IF(N(G180)*G$120*$F$22&gt;0,MIN(1,N(G181)*IF(ISNUMBER($K$84),$K$84,$F$32)*1000/(N(G180)*G$120*$F$22)),0),1)))</f>
        <v>0.5</v>
      </c>
      <c r="H183" s="45">
        <f t="shared" si="61"/>
        <v>0.5</v>
      </c>
      <c r="I183" s="45">
        <f t="shared" si="61"/>
        <v>0.5</v>
      </c>
      <c r="J183" s="45">
        <f t="shared" si="61"/>
        <v>0.5</v>
      </c>
      <c r="K183" s="45">
        <f t="shared" si="61"/>
        <v>0.5</v>
      </c>
      <c r="L183" s="45">
        <f t="shared" si="61"/>
        <v>0.5</v>
      </c>
      <c r="M183" s="45">
        <f t="shared" si="61"/>
        <v>0.5</v>
      </c>
      <c r="N183" s="45">
        <f t="shared" si="61"/>
        <v>0.5</v>
      </c>
      <c r="O183" s="45">
        <f t="shared" si="61"/>
        <v>0</v>
      </c>
      <c r="P183" s="45">
        <f t="shared" si="61"/>
        <v>0</v>
      </c>
      <c r="Q183" s="45">
        <f t="shared" si="61"/>
        <v>0</v>
      </c>
      <c r="R183" s="45">
        <f t="shared" si="61"/>
        <v>0</v>
      </c>
      <c r="S183" s="45">
        <f t="shared" si="61"/>
        <v>0</v>
      </c>
      <c r="T183" s="45">
        <f t="shared" si="61"/>
        <v>0</v>
      </c>
      <c r="U183" s="45">
        <f t="shared" si="61"/>
        <v>0</v>
      </c>
      <c r="V183" s="33"/>
    </row>
    <row r="184" spans="2:25">
      <c r="B184" s="27" t="s">
        <v>626</v>
      </c>
      <c r="C184" s="33" t="s">
        <v>627</v>
      </c>
      <c r="D184" s="33" t="s">
        <v>359</v>
      </c>
      <c r="E184" s="33" t="s">
        <v>107</v>
      </c>
      <c r="F184" s="33"/>
      <c r="G184" s="34">
        <f t="shared" ref="G184:U184" si="62">IF($K$75="",0,N(G180)*G$120*$F$22*$F$25*$K$80*G183*$F$30/1000)</f>
        <v>187.17930000000001</v>
      </c>
      <c r="H184" s="34">
        <f t="shared" si="62"/>
        <v>312.82020000000006</v>
      </c>
      <c r="I184" s="34">
        <f t="shared" si="62"/>
        <v>374.35860000000002</v>
      </c>
      <c r="J184" s="34">
        <f t="shared" si="62"/>
        <v>374.35860000000002</v>
      </c>
      <c r="K184" s="34">
        <f t="shared" si="62"/>
        <v>374.35860000000002</v>
      </c>
      <c r="L184" s="34">
        <f t="shared" si="62"/>
        <v>375.38423999999998</v>
      </c>
      <c r="M184" s="34">
        <f t="shared" si="62"/>
        <v>374.35860000000002</v>
      </c>
      <c r="N184" s="34">
        <f t="shared" si="62"/>
        <v>374.35860000000002</v>
      </c>
      <c r="O184" s="34">
        <f t="shared" si="62"/>
        <v>0</v>
      </c>
      <c r="P184" s="34">
        <f t="shared" si="62"/>
        <v>0</v>
      </c>
      <c r="Q184" s="34">
        <f t="shared" si="62"/>
        <v>0</v>
      </c>
      <c r="R184" s="34">
        <f t="shared" si="62"/>
        <v>0</v>
      </c>
      <c r="S184" s="34">
        <f t="shared" si="62"/>
        <v>0</v>
      </c>
      <c r="T184" s="34">
        <f t="shared" si="62"/>
        <v>0</v>
      </c>
      <c r="U184" s="34">
        <f t="shared" si="62"/>
        <v>0</v>
      </c>
      <c r="V184" s="34">
        <f t="shared" ref="V184:V192" si="63">SUMPRODUCT($G$117:$U$117,G184:U184)</f>
        <v>2747.1767400000003</v>
      </c>
    </row>
    <row r="185" spans="2:25">
      <c r="B185" s="27" t="s">
        <v>628</v>
      </c>
      <c r="C185" s="33" t="s">
        <v>629</v>
      </c>
      <c r="D185" s="33" t="s">
        <v>359</v>
      </c>
      <c r="E185" s="33" t="s">
        <v>129</v>
      </c>
      <c r="F185" s="33"/>
      <c r="G185" s="34">
        <f t="shared" ref="G185:U185" si="64">IF($K$75="",0,G184*$K$83)</f>
        <v>125.41013100000002</v>
      </c>
      <c r="H185" s="34">
        <f t="shared" si="64"/>
        <v>209.58953400000004</v>
      </c>
      <c r="I185" s="34">
        <f t="shared" si="64"/>
        <v>250.82026200000004</v>
      </c>
      <c r="J185" s="34">
        <f t="shared" si="64"/>
        <v>250.82026200000004</v>
      </c>
      <c r="K185" s="34">
        <f t="shared" si="64"/>
        <v>250.82026200000004</v>
      </c>
      <c r="L185" s="34">
        <f t="shared" si="64"/>
        <v>251.50744080000001</v>
      </c>
      <c r="M185" s="34">
        <f t="shared" si="64"/>
        <v>250.82026200000004</v>
      </c>
      <c r="N185" s="34">
        <f t="shared" si="64"/>
        <v>250.82026200000004</v>
      </c>
      <c r="O185" s="34">
        <f t="shared" si="64"/>
        <v>0</v>
      </c>
      <c r="P185" s="34">
        <f t="shared" si="64"/>
        <v>0</v>
      </c>
      <c r="Q185" s="34">
        <f t="shared" si="64"/>
        <v>0</v>
      </c>
      <c r="R185" s="34">
        <f t="shared" si="64"/>
        <v>0</v>
      </c>
      <c r="S185" s="34">
        <f t="shared" si="64"/>
        <v>0</v>
      </c>
      <c r="T185" s="34">
        <f t="shared" si="64"/>
        <v>0</v>
      </c>
      <c r="U185" s="34">
        <f t="shared" si="64"/>
        <v>0</v>
      </c>
      <c r="V185" s="34">
        <f t="shared" si="63"/>
        <v>1840.6084158000001</v>
      </c>
    </row>
    <row r="186" spans="2:25" ht="21">
      <c r="B186" s="27" t="s">
        <v>630</v>
      </c>
      <c r="C186" s="33" t="s">
        <v>631</v>
      </c>
      <c r="D186" s="33" t="s">
        <v>359</v>
      </c>
      <c r="E186" s="33" t="s">
        <v>632</v>
      </c>
      <c r="F186" s="33"/>
      <c r="G186" s="34">
        <f t="shared" ref="G186:U186" si="65">IF(OR($K$88="FST",$K$88="WW"),N(G180)*G$120*$F$22*$F$25*$K$90*G183*$F$30/1000,0)</f>
        <v>0</v>
      </c>
      <c r="H186" s="34">
        <f t="shared" si="65"/>
        <v>0</v>
      </c>
      <c r="I186" s="34">
        <f t="shared" si="65"/>
        <v>0</v>
      </c>
      <c r="J186" s="34">
        <f t="shared" si="65"/>
        <v>0</v>
      </c>
      <c r="K186" s="34">
        <f t="shared" si="65"/>
        <v>0</v>
      </c>
      <c r="L186" s="34">
        <f t="shared" si="65"/>
        <v>0</v>
      </c>
      <c r="M186" s="34">
        <f t="shared" si="65"/>
        <v>0</v>
      </c>
      <c r="N186" s="34">
        <f t="shared" si="65"/>
        <v>0</v>
      </c>
      <c r="O186" s="34">
        <f t="shared" si="65"/>
        <v>0</v>
      </c>
      <c r="P186" s="34">
        <f t="shared" si="65"/>
        <v>0</v>
      </c>
      <c r="Q186" s="34">
        <f t="shared" si="65"/>
        <v>0</v>
      </c>
      <c r="R186" s="34">
        <f t="shared" si="65"/>
        <v>0</v>
      </c>
      <c r="S186" s="34">
        <f t="shared" si="65"/>
        <v>0</v>
      </c>
      <c r="T186" s="34">
        <f t="shared" si="65"/>
        <v>0</v>
      </c>
      <c r="U186" s="34">
        <f t="shared" si="65"/>
        <v>0</v>
      </c>
      <c r="V186" s="34">
        <f t="shared" si="63"/>
        <v>0</v>
      </c>
    </row>
    <row r="187" spans="2:25" ht="21">
      <c r="B187" s="27" t="s">
        <v>633</v>
      </c>
      <c r="C187" s="33" t="s">
        <v>631</v>
      </c>
      <c r="D187" s="33" t="s">
        <v>359</v>
      </c>
      <c r="E187" s="33" t="s">
        <v>632</v>
      </c>
      <c r="F187" s="33"/>
      <c r="G187" s="34">
        <f t="shared" ref="G187:U187" si="66">IF(OR($K$89="FST",$K$89="WW"),N(G180)*G$120*$F$22*$F$25*$K$91*G183*$F$30/1000,0)</f>
        <v>0</v>
      </c>
      <c r="H187" s="34">
        <f t="shared" si="66"/>
        <v>0</v>
      </c>
      <c r="I187" s="34">
        <f t="shared" si="66"/>
        <v>0</v>
      </c>
      <c r="J187" s="34">
        <f t="shared" si="66"/>
        <v>0</v>
      </c>
      <c r="K187" s="34">
        <f t="shared" si="66"/>
        <v>0</v>
      </c>
      <c r="L187" s="34">
        <f t="shared" si="66"/>
        <v>0</v>
      </c>
      <c r="M187" s="34">
        <f t="shared" si="66"/>
        <v>0</v>
      </c>
      <c r="N187" s="34">
        <f t="shared" si="66"/>
        <v>0</v>
      </c>
      <c r="O187" s="34">
        <f t="shared" si="66"/>
        <v>0</v>
      </c>
      <c r="P187" s="34">
        <f t="shared" si="66"/>
        <v>0</v>
      </c>
      <c r="Q187" s="34">
        <f t="shared" si="66"/>
        <v>0</v>
      </c>
      <c r="R187" s="34">
        <f t="shared" si="66"/>
        <v>0</v>
      </c>
      <c r="S187" s="34">
        <f t="shared" si="66"/>
        <v>0</v>
      </c>
      <c r="T187" s="34">
        <f t="shared" si="66"/>
        <v>0</v>
      </c>
      <c r="U187" s="34">
        <f t="shared" si="66"/>
        <v>0</v>
      </c>
      <c r="V187" s="34">
        <f t="shared" si="63"/>
        <v>0</v>
      </c>
    </row>
    <row r="188" spans="2:25" ht="21">
      <c r="B188" s="27" t="s">
        <v>634</v>
      </c>
      <c r="C188" s="33" t="s">
        <v>635</v>
      </c>
      <c r="D188" s="33" t="s">
        <v>359</v>
      </c>
      <c r="E188" s="33" t="s">
        <v>636</v>
      </c>
      <c r="F188" s="33"/>
      <c r="G188" s="34">
        <f t="shared" ref="G188:U188" si="67">IF(OR($K$88="FST",$K$88="WW"),IF(ISNUMBER($K$85),G$117*N(G182)*$K$85,N(G180)*G183*$F$36*G$120/365)*$K$92*(44/28)*$F$31/1000,0)</f>
        <v>0</v>
      </c>
      <c r="H188" s="34">
        <f t="shared" si="67"/>
        <v>0</v>
      </c>
      <c r="I188" s="34">
        <f t="shared" si="67"/>
        <v>0</v>
      </c>
      <c r="J188" s="34">
        <f t="shared" si="67"/>
        <v>0</v>
      </c>
      <c r="K188" s="34">
        <f t="shared" si="67"/>
        <v>0</v>
      </c>
      <c r="L188" s="34">
        <f t="shared" si="67"/>
        <v>0</v>
      </c>
      <c r="M188" s="34">
        <f t="shared" si="67"/>
        <v>0</v>
      </c>
      <c r="N188" s="34">
        <f t="shared" si="67"/>
        <v>0</v>
      </c>
      <c r="O188" s="34">
        <f t="shared" si="67"/>
        <v>0</v>
      </c>
      <c r="P188" s="34">
        <f t="shared" si="67"/>
        <v>0</v>
      </c>
      <c r="Q188" s="34">
        <f t="shared" si="67"/>
        <v>0</v>
      </c>
      <c r="R188" s="34">
        <f t="shared" si="67"/>
        <v>0</v>
      </c>
      <c r="S188" s="34">
        <f t="shared" si="67"/>
        <v>0</v>
      </c>
      <c r="T188" s="34">
        <f t="shared" si="67"/>
        <v>0</v>
      </c>
      <c r="U188" s="34">
        <f t="shared" si="67"/>
        <v>0</v>
      </c>
      <c r="V188" s="34">
        <f t="shared" si="63"/>
        <v>0</v>
      </c>
    </row>
    <row r="189" spans="2:25" ht="21">
      <c r="B189" s="27" t="s">
        <v>637</v>
      </c>
      <c r="C189" s="33" t="s">
        <v>635</v>
      </c>
      <c r="D189" s="33" t="s">
        <v>359</v>
      </c>
      <c r="E189" s="33" t="s">
        <v>636</v>
      </c>
      <c r="F189" s="33"/>
      <c r="G189" s="34">
        <f t="shared" ref="G189:U189" si="68">IF(OR($K$89="FST",$K$89="WW"),IF(ISNUMBER($K$85),G$117*N(G182)*$K$85,N(G180)*G183*$F$36*G$120/365)*$K$93*(44/28)*$F$31/1000,0)</f>
        <v>0</v>
      </c>
      <c r="H189" s="34">
        <f t="shared" si="68"/>
        <v>0</v>
      </c>
      <c r="I189" s="34">
        <f t="shared" si="68"/>
        <v>0</v>
      </c>
      <c r="J189" s="34">
        <f t="shared" si="68"/>
        <v>0</v>
      </c>
      <c r="K189" s="34">
        <f t="shared" si="68"/>
        <v>0</v>
      </c>
      <c r="L189" s="34">
        <f t="shared" si="68"/>
        <v>0</v>
      </c>
      <c r="M189" s="34">
        <f t="shared" si="68"/>
        <v>0</v>
      </c>
      <c r="N189" s="34">
        <f t="shared" si="68"/>
        <v>0</v>
      </c>
      <c r="O189" s="34">
        <f t="shared" si="68"/>
        <v>0</v>
      </c>
      <c r="P189" s="34">
        <f t="shared" si="68"/>
        <v>0</v>
      </c>
      <c r="Q189" s="34">
        <f t="shared" si="68"/>
        <v>0</v>
      </c>
      <c r="R189" s="34">
        <f t="shared" si="68"/>
        <v>0</v>
      </c>
      <c r="S189" s="34">
        <f t="shared" si="68"/>
        <v>0</v>
      </c>
      <c r="T189" s="34">
        <f t="shared" si="68"/>
        <v>0</v>
      </c>
      <c r="U189" s="34">
        <f t="shared" si="68"/>
        <v>0</v>
      </c>
      <c r="V189" s="34">
        <f t="shared" si="63"/>
        <v>0</v>
      </c>
    </row>
    <row r="190" spans="2:25" ht="21">
      <c r="B190" s="27" t="s">
        <v>638</v>
      </c>
      <c r="C190" s="33" t="s">
        <v>635</v>
      </c>
      <c r="D190" s="33" t="s">
        <v>359</v>
      </c>
      <c r="E190" s="33" t="s">
        <v>639</v>
      </c>
      <c r="F190" s="33"/>
      <c r="G190" s="34">
        <f t="shared" ref="G190:U190" si="69">IF(ISNUMBER($K$85),G$117*N(G182)*$K$85,N(G180)*G183*$F$36*G$120/365)*N($K$95)*$F$54*(44/28)*$F$31/1000</f>
        <v>0</v>
      </c>
      <c r="H190" s="34">
        <f t="shared" si="69"/>
        <v>0</v>
      </c>
      <c r="I190" s="34">
        <f t="shared" si="69"/>
        <v>0</v>
      </c>
      <c r="J190" s="34">
        <f t="shared" si="69"/>
        <v>0</v>
      </c>
      <c r="K190" s="34">
        <f t="shared" si="69"/>
        <v>0</v>
      </c>
      <c r="L190" s="34">
        <f t="shared" si="69"/>
        <v>0</v>
      </c>
      <c r="M190" s="34">
        <f t="shared" si="69"/>
        <v>0</v>
      </c>
      <c r="N190" s="34">
        <f t="shared" si="69"/>
        <v>0</v>
      </c>
      <c r="O190" s="34">
        <f t="shared" si="69"/>
        <v>0</v>
      </c>
      <c r="P190" s="34">
        <f t="shared" si="69"/>
        <v>0</v>
      </c>
      <c r="Q190" s="34">
        <f t="shared" si="69"/>
        <v>0</v>
      </c>
      <c r="R190" s="34">
        <f t="shared" si="69"/>
        <v>0</v>
      </c>
      <c r="S190" s="34">
        <f t="shared" si="69"/>
        <v>0</v>
      </c>
      <c r="T190" s="34">
        <f t="shared" si="69"/>
        <v>0</v>
      </c>
      <c r="U190" s="34">
        <f t="shared" si="69"/>
        <v>0</v>
      </c>
      <c r="V190" s="34">
        <f t="shared" si="63"/>
        <v>0</v>
      </c>
    </row>
    <row r="191" spans="2:25" ht="21">
      <c r="B191" s="27" t="s">
        <v>640</v>
      </c>
      <c r="C191" s="33" t="s">
        <v>635</v>
      </c>
      <c r="D191" s="33" t="s">
        <v>359</v>
      </c>
      <c r="E191" s="33" t="s">
        <v>639</v>
      </c>
      <c r="F191" s="33"/>
      <c r="G191" s="34">
        <f t="shared" ref="G191:U191" si="70">IF(AND($K$94="Yes",OR($K$88="AD",$K$89="AD")),IF(ISNUMBER($K$85),G$117*N(G182)*$K$85,N(G180)*G183*$F$36*G$120/365)*N($F$53)*(44/28)*$F$31/1000,0)</f>
        <v>0</v>
      </c>
      <c r="H191" s="34">
        <f t="shared" si="70"/>
        <v>0</v>
      </c>
      <c r="I191" s="34">
        <f t="shared" si="70"/>
        <v>0</v>
      </c>
      <c r="J191" s="34">
        <f t="shared" si="70"/>
        <v>0</v>
      </c>
      <c r="K191" s="34">
        <f t="shared" si="70"/>
        <v>0</v>
      </c>
      <c r="L191" s="34">
        <f t="shared" si="70"/>
        <v>0</v>
      </c>
      <c r="M191" s="34">
        <f t="shared" si="70"/>
        <v>0</v>
      </c>
      <c r="N191" s="34">
        <f t="shared" si="70"/>
        <v>0</v>
      </c>
      <c r="O191" s="34">
        <f t="shared" si="70"/>
        <v>0</v>
      </c>
      <c r="P191" s="34">
        <f t="shared" si="70"/>
        <v>0</v>
      </c>
      <c r="Q191" s="34">
        <f t="shared" si="70"/>
        <v>0</v>
      </c>
      <c r="R191" s="34">
        <f t="shared" si="70"/>
        <v>0</v>
      </c>
      <c r="S191" s="34">
        <f t="shared" si="70"/>
        <v>0</v>
      </c>
      <c r="T191" s="34">
        <f t="shared" si="70"/>
        <v>0</v>
      </c>
      <c r="U191" s="34">
        <f t="shared" si="70"/>
        <v>0</v>
      </c>
      <c r="V191" s="34">
        <f t="shared" si="63"/>
        <v>0</v>
      </c>
    </row>
    <row r="192" spans="2:25" ht="22.5">
      <c r="B192" s="27" t="s">
        <v>641</v>
      </c>
      <c r="C192" s="33"/>
      <c r="D192" s="33" t="s">
        <v>359</v>
      </c>
      <c r="E192" s="33" t="s">
        <v>642</v>
      </c>
      <c r="F192" s="33"/>
      <c r="G192" s="34">
        <f t="shared" ref="G192:U192" si="71">G185*(1-G$121)*N(G$200)*N(G$201)-(G186+G187+G188+G189+G190+G191)</f>
        <v>100.97361582628324</v>
      </c>
      <c r="H192" s="34">
        <f t="shared" si="71"/>
        <v>174.375440664385</v>
      </c>
      <c r="I192" s="34">
        <f t="shared" si="71"/>
        <v>208.67880604098534</v>
      </c>
      <c r="J192" s="34">
        <f t="shared" si="71"/>
        <v>208.67880604098534</v>
      </c>
      <c r="K192" s="34">
        <f t="shared" si="71"/>
        <v>208.67880604098534</v>
      </c>
      <c r="L192" s="34">
        <f t="shared" si="71"/>
        <v>209.25052879726201</v>
      </c>
      <c r="M192" s="34">
        <f t="shared" si="71"/>
        <v>208.67880604098534</v>
      </c>
      <c r="N192" s="34">
        <f t="shared" si="71"/>
        <v>208.67880604098534</v>
      </c>
      <c r="O192" s="34">
        <f t="shared" si="71"/>
        <v>0</v>
      </c>
      <c r="P192" s="34">
        <f t="shared" si="71"/>
        <v>0</v>
      </c>
      <c r="Q192" s="34">
        <f t="shared" si="71"/>
        <v>0</v>
      </c>
      <c r="R192" s="34">
        <f t="shared" si="71"/>
        <v>0</v>
      </c>
      <c r="S192" s="34">
        <f t="shared" si="71"/>
        <v>0</v>
      </c>
      <c r="T192" s="34">
        <f t="shared" si="71"/>
        <v>0</v>
      </c>
      <c r="U192" s="34">
        <f t="shared" si="71"/>
        <v>0</v>
      </c>
      <c r="V192" s="34">
        <f t="shared" si="63"/>
        <v>1527.9936154928571</v>
      </c>
    </row>
    <row r="194" spans="2:25">
      <c r="B194" s="25" t="s">
        <v>644</v>
      </c>
      <c r="C194" s="25" t="s">
        <v>369</v>
      </c>
      <c r="D194" s="25" t="s">
        <v>370</v>
      </c>
      <c r="E194" s="25" t="s">
        <v>371</v>
      </c>
      <c r="F194" s="25"/>
      <c r="G194" s="26">
        <f t="shared" ref="G194:U194" si="72">G$114</f>
        <v>1</v>
      </c>
      <c r="H194" s="26">
        <f t="shared" si="72"/>
        <v>2</v>
      </c>
      <c r="I194" s="26">
        <f t="shared" si="72"/>
        <v>3</v>
      </c>
      <c r="J194" s="26">
        <f t="shared" si="72"/>
        <v>4</v>
      </c>
      <c r="K194" s="26">
        <f t="shared" si="72"/>
        <v>5</v>
      </c>
      <c r="L194" s="26">
        <f t="shared" si="72"/>
        <v>6</v>
      </c>
      <c r="M194" s="26">
        <f t="shared" si="72"/>
        <v>7</v>
      </c>
      <c r="N194" s="26">
        <f t="shared" si="72"/>
        <v>8</v>
      </c>
      <c r="O194" s="26">
        <f t="shared" si="72"/>
        <v>9</v>
      </c>
      <c r="P194" s="26">
        <f t="shared" si="72"/>
        <v>10</v>
      </c>
      <c r="Q194" s="26">
        <f t="shared" si="72"/>
        <v>11</v>
      </c>
      <c r="R194" s="26">
        <f t="shared" si="72"/>
        <v>12</v>
      </c>
      <c r="S194" s="26">
        <f t="shared" si="72"/>
        <v>13</v>
      </c>
      <c r="T194" s="26">
        <f t="shared" si="72"/>
        <v>14</v>
      </c>
      <c r="U194" s="26">
        <f t="shared" si="72"/>
        <v>15</v>
      </c>
      <c r="V194" s="26" t="s">
        <v>602</v>
      </c>
      <c r="Y194" s="25" t="s">
        <v>324</v>
      </c>
    </row>
    <row r="195" spans="2:25">
      <c r="B195" s="27" t="s">
        <v>626</v>
      </c>
      <c r="C195" s="33" t="s">
        <v>645</v>
      </c>
      <c r="D195" s="33" t="s">
        <v>359</v>
      </c>
      <c r="E195" s="33" t="s">
        <v>107</v>
      </c>
      <c r="F195" s="33"/>
      <c r="G195" s="34">
        <f t="shared" ref="G195:U195" si="73">G128+G142+G156+G170+G184</f>
        <v>1190.45766</v>
      </c>
      <c r="H195" s="34">
        <f t="shared" si="73"/>
        <v>2035.470024</v>
      </c>
      <c r="I195" s="34">
        <f t="shared" si="73"/>
        <v>2546.6567700000001</v>
      </c>
      <c r="J195" s="34">
        <f t="shared" si="73"/>
        <v>2535.8797800000002</v>
      </c>
      <c r="K195" s="34">
        <f t="shared" si="73"/>
        <v>2531.568984</v>
      </c>
      <c r="L195" s="34">
        <f t="shared" si="73"/>
        <v>2424.7321055999996</v>
      </c>
      <c r="M195" s="34">
        <f t="shared" si="73"/>
        <v>2304.6849839999995</v>
      </c>
      <c r="N195" s="34">
        <f t="shared" si="73"/>
        <v>2304.6849839999995</v>
      </c>
      <c r="O195" s="34">
        <f t="shared" si="73"/>
        <v>0</v>
      </c>
      <c r="P195" s="34">
        <f t="shared" si="73"/>
        <v>0</v>
      </c>
      <c r="Q195" s="34">
        <f t="shared" si="73"/>
        <v>0</v>
      </c>
      <c r="R195" s="34">
        <f t="shared" si="73"/>
        <v>0</v>
      </c>
      <c r="S195" s="34">
        <f t="shared" si="73"/>
        <v>0</v>
      </c>
      <c r="T195" s="34">
        <f t="shared" si="73"/>
        <v>0</v>
      </c>
      <c r="U195" s="34">
        <f t="shared" si="73"/>
        <v>0</v>
      </c>
      <c r="V195" s="34">
        <f>SUMPRODUCT($G$117:$U$117,G195:U195)</f>
        <v>17874.135291599996</v>
      </c>
    </row>
    <row r="196" spans="2:25">
      <c r="B196" s="27" t="s">
        <v>628</v>
      </c>
      <c r="C196" s="33" t="s">
        <v>646</v>
      </c>
      <c r="D196" s="33" t="s">
        <v>359</v>
      </c>
      <c r="E196" s="33" t="s">
        <v>129</v>
      </c>
      <c r="F196" s="33"/>
      <c r="G196" s="34">
        <f t="shared" ref="G196:U196" si="74">G129+G143+G157+G171+G185</f>
        <v>807.10049625845602</v>
      </c>
      <c r="H196" s="34">
        <f t="shared" si="74"/>
        <v>1383.5221450482052</v>
      </c>
      <c r="I196" s="34">
        <f t="shared" si="74"/>
        <v>1734.970701943842</v>
      </c>
      <c r="J196" s="34">
        <f t="shared" si="74"/>
        <v>1728.816200629228</v>
      </c>
      <c r="K196" s="34">
        <f t="shared" si="74"/>
        <v>1726.3544001033822</v>
      </c>
      <c r="L196" s="34">
        <f t="shared" si="74"/>
        <v>1652.5809863392819</v>
      </c>
      <c r="M196" s="34">
        <f t="shared" si="74"/>
        <v>1569.8044401033821</v>
      </c>
      <c r="N196" s="34">
        <f t="shared" si="74"/>
        <v>1569.8044401033821</v>
      </c>
      <c r="O196" s="34">
        <f t="shared" si="74"/>
        <v>0</v>
      </c>
      <c r="P196" s="34">
        <f t="shared" si="74"/>
        <v>0</v>
      </c>
      <c r="Q196" s="34">
        <f t="shared" si="74"/>
        <v>0</v>
      </c>
      <c r="R196" s="34">
        <f t="shared" si="74"/>
        <v>0</v>
      </c>
      <c r="S196" s="34">
        <f t="shared" si="74"/>
        <v>0</v>
      </c>
      <c r="T196" s="34">
        <f t="shared" si="74"/>
        <v>0</v>
      </c>
      <c r="U196" s="34">
        <f t="shared" si="74"/>
        <v>0</v>
      </c>
      <c r="V196" s="34">
        <f>SUMPRODUCT($G$117:$U$117,G196:U196)</f>
        <v>12172.953810529159</v>
      </c>
    </row>
    <row r="197" spans="2:25">
      <c r="B197" s="27" t="s">
        <v>647</v>
      </c>
      <c r="C197" s="33" t="s">
        <v>648</v>
      </c>
      <c r="D197" s="33" t="s">
        <v>359</v>
      </c>
      <c r="E197" s="33" t="s">
        <v>133</v>
      </c>
      <c r="F197" s="33"/>
      <c r="G197" s="34">
        <f t="shared" ref="G197:U197" si="75">G196*(1-G$121)</f>
        <v>784.82452256172269</v>
      </c>
      <c r="H197" s="34">
        <f t="shared" si="75"/>
        <v>1345.3369338448747</v>
      </c>
      <c r="I197" s="34">
        <f t="shared" si="75"/>
        <v>1687.0855105701919</v>
      </c>
      <c r="J197" s="34">
        <f t="shared" si="75"/>
        <v>1681.1008734918614</v>
      </c>
      <c r="K197" s="34">
        <f t="shared" si="75"/>
        <v>1678.707018660529</v>
      </c>
      <c r="L197" s="34">
        <f t="shared" si="75"/>
        <v>1606.9697511163179</v>
      </c>
      <c r="M197" s="34">
        <f t="shared" si="75"/>
        <v>1526.4778375565288</v>
      </c>
      <c r="N197" s="34">
        <f t="shared" si="75"/>
        <v>1526.4778375565288</v>
      </c>
      <c r="O197" s="34">
        <f t="shared" si="75"/>
        <v>0</v>
      </c>
      <c r="P197" s="34">
        <f t="shared" si="75"/>
        <v>0</v>
      </c>
      <c r="Q197" s="34">
        <f t="shared" si="75"/>
        <v>0</v>
      </c>
      <c r="R197" s="34">
        <f t="shared" si="75"/>
        <v>0</v>
      </c>
      <c r="S197" s="34">
        <f t="shared" si="75"/>
        <v>0</v>
      </c>
      <c r="T197" s="34">
        <f t="shared" si="75"/>
        <v>0</v>
      </c>
      <c r="U197" s="34">
        <f t="shared" si="75"/>
        <v>0</v>
      </c>
      <c r="V197" s="34">
        <f>SUMPRODUCT($G$117:$U$117,G197:U197)</f>
        <v>11836.980285358557</v>
      </c>
    </row>
    <row r="198" spans="2:25">
      <c r="B198" s="27" t="s">
        <v>649</v>
      </c>
      <c r="C198" s="33" t="s">
        <v>650</v>
      </c>
      <c r="D198" s="33" t="s">
        <v>359</v>
      </c>
      <c r="E198" s="33" t="s">
        <v>137</v>
      </c>
      <c r="F198" s="33"/>
      <c r="G198" s="34">
        <f t="shared" ref="G198:U198" si="76">G196</f>
        <v>807.10049625845602</v>
      </c>
      <c r="H198" s="34">
        <f t="shared" si="76"/>
        <v>1383.5221450482052</v>
      </c>
      <c r="I198" s="34">
        <f t="shared" si="76"/>
        <v>1734.970701943842</v>
      </c>
      <c r="J198" s="34">
        <f t="shared" si="76"/>
        <v>1728.816200629228</v>
      </c>
      <c r="K198" s="34">
        <f t="shared" si="76"/>
        <v>1726.3544001033822</v>
      </c>
      <c r="L198" s="34">
        <f t="shared" si="76"/>
        <v>1652.5809863392819</v>
      </c>
      <c r="M198" s="34">
        <f t="shared" si="76"/>
        <v>1569.8044401033821</v>
      </c>
      <c r="N198" s="34">
        <f t="shared" si="76"/>
        <v>1569.8044401033821</v>
      </c>
      <c r="O198" s="34">
        <f t="shared" si="76"/>
        <v>0</v>
      </c>
      <c r="P198" s="34">
        <f t="shared" si="76"/>
        <v>0</v>
      </c>
      <c r="Q198" s="34">
        <f t="shared" si="76"/>
        <v>0</v>
      </c>
      <c r="R198" s="34">
        <f t="shared" si="76"/>
        <v>0</v>
      </c>
      <c r="S198" s="34">
        <f t="shared" si="76"/>
        <v>0</v>
      </c>
      <c r="T198" s="34">
        <f t="shared" si="76"/>
        <v>0</v>
      </c>
      <c r="U198" s="34">
        <f t="shared" si="76"/>
        <v>0</v>
      </c>
      <c r="V198" s="34">
        <f>SUMPRODUCT($G$117:$U$117,G198:U198)</f>
        <v>12172.953810529159</v>
      </c>
    </row>
    <row r="199" spans="2:25">
      <c r="B199" s="27" t="s">
        <v>651</v>
      </c>
      <c r="C199" s="33" t="s">
        <v>652</v>
      </c>
      <c r="D199" s="33" t="s">
        <v>359</v>
      </c>
      <c r="E199" s="33" t="s">
        <v>140</v>
      </c>
      <c r="F199" s="33"/>
      <c r="G199" s="34">
        <f t="shared" ref="G199:U199" si="77">MIN(G197,G198)</f>
        <v>784.82452256172269</v>
      </c>
      <c r="H199" s="34">
        <f t="shared" si="77"/>
        <v>1345.3369338448747</v>
      </c>
      <c r="I199" s="34">
        <f t="shared" si="77"/>
        <v>1687.0855105701919</v>
      </c>
      <c r="J199" s="34">
        <f t="shared" si="77"/>
        <v>1681.1008734918614</v>
      </c>
      <c r="K199" s="34">
        <f t="shared" si="77"/>
        <v>1678.707018660529</v>
      </c>
      <c r="L199" s="34">
        <f t="shared" si="77"/>
        <v>1606.9697511163179</v>
      </c>
      <c r="M199" s="34">
        <f t="shared" si="77"/>
        <v>1526.4778375565288</v>
      </c>
      <c r="N199" s="34">
        <f t="shared" si="77"/>
        <v>1526.4778375565288</v>
      </c>
      <c r="O199" s="34">
        <f t="shared" si="77"/>
        <v>0</v>
      </c>
      <c r="P199" s="34">
        <f t="shared" si="77"/>
        <v>0</v>
      </c>
      <c r="Q199" s="34">
        <f t="shared" si="77"/>
        <v>0</v>
      </c>
      <c r="R199" s="34">
        <f t="shared" si="77"/>
        <v>0</v>
      </c>
      <c r="S199" s="34">
        <f t="shared" si="77"/>
        <v>0</v>
      </c>
      <c r="T199" s="34">
        <f t="shared" si="77"/>
        <v>0</v>
      </c>
      <c r="U199" s="34">
        <f t="shared" si="77"/>
        <v>0</v>
      </c>
      <c r="V199" s="34">
        <f>SUMPRODUCT($G$117:$U$117,G199:U199)</f>
        <v>11836.980285358557</v>
      </c>
    </row>
    <row r="200" spans="2:25">
      <c r="B200" s="27" t="s">
        <v>221</v>
      </c>
      <c r="C200" s="33" t="s">
        <v>653</v>
      </c>
      <c r="D200" s="33" t="s">
        <v>398</v>
      </c>
      <c r="E200" s="33" t="s">
        <v>220</v>
      </c>
      <c r="F200" s="33"/>
      <c r="G200" s="40">
        <v>0.92</v>
      </c>
      <c r="H200" s="40">
        <v>0.93</v>
      </c>
      <c r="I200" s="40">
        <v>0.93</v>
      </c>
      <c r="J200" s="40">
        <v>0.93</v>
      </c>
      <c r="K200" s="40">
        <v>0.93</v>
      </c>
      <c r="L200" s="40">
        <v>0.93</v>
      </c>
      <c r="M200" s="40">
        <v>0.93</v>
      </c>
      <c r="N200" s="40">
        <v>0.93</v>
      </c>
      <c r="O200" s="40">
        <v>0.93</v>
      </c>
      <c r="P200" s="40">
        <v>0.93</v>
      </c>
      <c r="Q200" s="40">
        <v>0.93</v>
      </c>
      <c r="R200" s="40">
        <v>0.93</v>
      </c>
      <c r="S200" s="40">
        <v>0.93</v>
      </c>
      <c r="T200" s="40">
        <v>0.93</v>
      </c>
      <c r="U200" s="40">
        <v>0.93</v>
      </c>
      <c r="V200" s="33"/>
      <c r="Y200" s="50" t="s">
        <v>654</v>
      </c>
    </row>
    <row r="201" spans="2:25" ht="21">
      <c r="B201" s="27" t="s">
        <v>225</v>
      </c>
      <c r="C201" s="33" t="s">
        <v>655</v>
      </c>
      <c r="D201" s="33" t="s">
        <v>398</v>
      </c>
      <c r="E201" s="33" t="s">
        <v>224</v>
      </c>
      <c r="F201" s="33"/>
      <c r="G201" s="40">
        <v>0.9</v>
      </c>
      <c r="H201" s="40">
        <v>0.92</v>
      </c>
      <c r="I201" s="40">
        <v>0.92</v>
      </c>
      <c r="J201" s="40">
        <v>0.92</v>
      </c>
      <c r="K201" s="40">
        <v>0.92</v>
      </c>
      <c r="L201" s="40">
        <v>0.92</v>
      </c>
      <c r="M201" s="40">
        <v>0.92</v>
      </c>
      <c r="N201" s="40">
        <v>0.92</v>
      </c>
      <c r="O201" s="40">
        <v>0.92</v>
      </c>
      <c r="P201" s="40">
        <v>0.92</v>
      </c>
      <c r="Q201" s="40">
        <v>0.92</v>
      </c>
      <c r="R201" s="40">
        <v>0.92</v>
      </c>
      <c r="S201" s="40">
        <v>0.92</v>
      </c>
      <c r="T201" s="40">
        <v>0.92</v>
      </c>
      <c r="U201" s="40">
        <v>0.92</v>
      </c>
      <c r="V201" s="33"/>
      <c r="Y201" s="50" t="s">
        <v>656</v>
      </c>
    </row>
    <row r="202" spans="2:25">
      <c r="B202" s="30" t="s">
        <v>657</v>
      </c>
      <c r="C202" s="33" t="s">
        <v>658</v>
      </c>
      <c r="D202" s="33" t="s">
        <v>359</v>
      </c>
      <c r="E202" s="33" t="s">
        <v>143</v>
      </c>
      <c r="F202" s="33"/>
      <c r="G202" s="31">
        <f t="shared" ref="G202:U202" si="78">G199*N(G200)*N(G201)</f>
        <v>649.83470468110647</v>
      </c>
      <c r="H202" s="31">
        <f t="shared" si="78"/>
        <v>1151.0702805976748</v>
      </c>
      <c r="I202" s="31">
        <f t="shared" si="78"/>
        <v>1443.4703628438563</v>
      </c>
      <c r="J202" s="31">
        <f t="shared" si="78"/>
        <v>1438.3499073596367</v>
      </c>
      <c r="K202" s="31">
        <f t="shared" si="78"/>
        <v>1436.3017251659487</v>
      </c>
      <c r="L202" s="31">
        <f t="shared" si="78"/>
        <v>1374.9233190551215</v>
      </c>
      <c r="M202" s="31">
        <f t="shared" si="78"/>
        <v>1306.0544378133661</v>
      </c>
      <c r="N202" s="31">
        <f t="shared" si="78"/>
        <v>1306.0544378133661</v>
      </c>
      <c r="O202" s="31">
        <f t="shared" si="78"/>
        <v>0</v>
      </c>
      <c r="P202" s="31">
        <f t="shared" si="78"/>
        <v>0</v>
      </c>
      <c r="Q202" s="31">
        <f t="shared" si="78"/>
        <v>0</v>
      </c>
      <c r="R202" s="31">
        <f t="shared" si="78"/>
        <v>0</v>
      </c>
      <c r="S202" s="31">
        <f t="shared" si="78"/>
        <v>0</v>
      </c>
      <c r="T202" s="31">
        <f t="shared" si="78"/>
        <v>0</v>
      </c>
      <c r="U202" s="31">
        <f t="shared" si="78"/>
        <v>0</v>
      </c>
      <c r="V202" s="31">
        <f>SUMPRODUCT($G$117:$U$117,G202:U202)</f>
        <v>10106.059175330076</v>
      </c>
    </row>
    <row r="203" spans="2:25" ht="22.5">
      <c r="B203" s="27" t="s">
        <v>659</v>
      </c>
      <c r="C203" s="33" t="s">
        <v>660</v>
      </c>
      <c r="D203" s="33" t="s">
        <v>359</v>
      </c>
      <c r="E203" s="33" t="s">
        <v>146</v>
      </c>
      <c r="F203" s="33"/>
      <c r="G203" s="34">
        <f t="shared" ref="G203:U203" si="79">G198-G199</f>
        <v>22.275973696733331</v>
      </c>
      <c r="H203" s="34">
        <f t="shared" si="79"/>
        <v>38.185211203330482</v>
      </c>
      <c r="I203" s="34">
        <f t="shared" si="79"/>
        <v>47.885191373650059</v>
      </c>
      <c r="J203" s="34">
        <f t="shared" si="79"/>
        <v>47.715327137366558</v>
      </c>
      <c r="K203" s="34">
        <f t="shared" si="79"/>
        <v>47.647381442853202</v>
      </c>
      <c r="L203" s="34">
        <f t="shared" si="79"/>
        <v>45.611235222964069</v>
      </c>
      <c r="M203" s="34">
        <f t="shared" si="79"/>
        <v>43.326602546853337</v>
      </c>
      <c r="N203" s="34">
        <f t="shared" si="79"/>
        <v>43.326602546853337</v>
      </c>
      <c r="O203" s="34">
        <f t="shared" si="79"/>
        <v>0</v>
      </c>
      <c r="P203" s="34">
        <f t="shared" si="79"/>
        <v>0</v>
      </c>
      <c r="Q203" s="34">
        <f t="shared" si="79"/>
        <v>0</v>
      </c>
      <c r="R203" s="34">
        <f t="shared" si="79"/>
        <v>0</v>
      </c>
      <c r="S203" s="34">
        <f t="shared" si="79"/>
        <v>0</v>
      </c>
      <c r="T203" s="34">
        <f t="shared" si="79"/>
        <v>0</v>
      </c>
      <c r="U203" s="34">
        <f t="shared" si="79"/>
        <v>0</v>
      </c>
      <c r="V203" s="34">
        <f>SUMPRODUCT($G$117:$U$117,G203:U203)</f>
        <v>335.97352517060438</v>
      </c>
    </row>
    <row r="205" spans="2:25">
      <c r="B205" s="25" t="s">
        <v>661</v>
      </c>
      <c r="C205" s="25" t="s">
        <v>369</v>
      </c>
      <c r="D205" s="25" t="s">
        <v>370</v>
      </c>
      <c r="E205" s="25" t="s">
        <v>371</v>
      </c>
      <c r="F205" s="25"/>
      <c r="G205" s="26">
        <f t="shared" ref="G205:U205" si="80">G$114</f>
        <v>1</v>
      </c>
      <c r="H205" s="26">
        <f t="shared" si="80"/>
        <v>2</v>
      </c>
      <c r="I205" s="26">
        <f t="shared" si="80"/>
        <v>3</v>
      </c>
      <c r="J205" s="26">
        <f t="shared" si="80"/>
        <v>4</v>
      </c>
      <c r="K205" s="26">
        <f t="shared" si="80"/>
        <v>5</v>
      </c>
      <c r="L205" s="26">
        <f t="shared" si="80"/>
        <v>6</v>
      </c>
      <c r="M205" s="26">
        <f t="shared" si="80"/>
        <v>7</v>
      </c>
      <c r="N205" s="26">
        <f t="shared" si="80"/>
        <v>8</v>
      </c>
      <c r="O205" s="26">
        <f t="shared" si="80"/>
        <v>9</v>
      </c>
      <c r="P205" s="26">
        <f t="shared" si="80"/>
        <v>10</v>
      </c>
      <c r="Q205" s="26">
        <f t="shared" si="80"/>
        <v>11</v>
      </c>
      <c r="R205" s="26">
        <f t="shared" si="80"/>
        <v>12</v>
      </c>
      <c r="S205" s="26">
        <f t="shared" si="80"/>
        <v>13</v>
      </c>
      <c r="T205" s="26">
        <f t="shared" si="80"/>
        <v>14</v>
      </c>
      <c r="U205" s="26">
        <f t="shared" si="80"/>
        <v>15</v>
      </c>
      <c r="V205" s="26" t="s">
        <v>602</v>
      </c>
      <c r="Y205" s="25" t="s">
        <v>324</v>
      </c>
    </row>
    <row r="206" spans="2:25">
      <c r="B206" s="27" t="s">
        <v>662</v>
      </c>
      <c r="C206" s="33"/>
      <c r="D206" s="33" t="s">
        <v>663</v>
      </c>
      <c r="E206" s="33" t="s">
        <v>155</v>
      </c>
      <c r="F206" s="33"/>
      <c r="G206" s="68">
        <v>30</v>
      </c>
      <c r="H206" s="68">
        <v>45</v>
      </c>
      <c r="I206" s="68">
        <v>45</v>
      </c>
      <c r="J206" s="68">
        <v>45</v>
      </c>
      <c r="K206" s="68">
        <v>45</v>
      </c>
      <c r="L206" s="68">
        <v>45</v>
      </c>
      <c r="M206" s="68">
        <v>45</v>
      </c>
      <c r="N206" s="68">
        <v>45</v>
      </c>
      <c r="O206" s="68">
        <v>45</v>
      </c>
      <c r="P206" s="68">
        <v>45</v>
      </c>
      <c r="Q206" s="68">
        <v>45</v>
      </c>
      <c r="R206" s="68">
        <v>45</v>
      </c>
      <c r="S206" s="68">
        <v>45</v>
      </c>
      <c r="T206" s="68">
        <v>45</v>
      </c>
      <c r="U206" s="68">
        <v>45</v>
      </c>
      <c r="V206" s="43">
        <f t="shared" ref="V206:V217" si="81">SUMPRODUCT($G$117:$U$117,G206:U206)</f>
        <v>345</v>
      </c>
      <c r="Y206" s="50" t="s">
        <v>664</v>
      </c>
    </row>
    <row r="207" spans="2:25" ht="21">
      <c r="B207" s="27" t="s">
        <v>665</v>
      </c>
      <c r="C207" s="33" t="s">
        <v>666</v>
      </c>
      <c r="D207" s="33" t="s">
        <v>359</v>
      </c>
      <c r="E207" s="33" t="s">
        <v>667</v>
      </c>
      <c r="F207" s="33"/>
      <c r="G207" s="34">
        <f t="shared" ref="G207:U207" si="82">G$117*N(G206)*$F$47</f>
        <v>39</v>
      </c>
      <c r="H207" s="34">
        <f t="shared" si="82"/>
        <v>58.5</v>
      </c>
      <c r="I207" s="34">
        <f t="shared" si="82"/>
        <v>58.5</v>
      </c>
      <c r="J207" s="34">
        <f t="shared" si="82"/>
        <v>58.5</v>
      </c>
      <c r="K207" s="34">
        <f t="shared" si="82"/>
        <v>58.5</v>
      </c>
      <c r="L207" s="34">
        <f t="shared" si="82"/>
        <v>58.5</v>
      </c>
      <c r="M207" s="34">
        <f t="shared" si="82"/>
        <v>58.5</v>
      </c>
      <c r="N207" s="34">
        <f t="shared" si="82"/>
        <v>58.5</v>
      </c>
      <c r="O207" s="34">
        <f t="shared" si="82"/>
        <v>0</v>
      </c>
      <c r="P207" s="34">
        <f t="shared" si="82"/>
        <v>0</v>
      </c>
      <c r="Q207" s="34">
        <f t="shared" si="82"/>
        <v>0</v>
      </c>
      <c r="R207" s="34">
        <f t="shared" si="82"/>
        <v>0</v>
      </c>
      <c r="S207" s="34">
        <f t="shared" si="82"/>
        <v>0</v>
      </c>
      <c r="T207" s="34">
        <f t="shared" si="82"/>
        <v>0</v>
      </c>
      <c r="U207" s="34">
        <f t="shared" si="82"/>
        <v>0</v>
      </c>
      <c r="V207" s="34">
        <f t="shared" si="81"/>
        <v>448.5</v>
      </c>
    </row>
    <row r="208" spans="2:25">
      <c r="B208" s="27" t="s">
        <v>668</v>
      </c>
      <c r="C208" s="33"/>
      <c r="D208" s="33" t="s">
        <v>669</v>
      </c>
      <c r="E208" s="33" t="s">
        <v>155</v>
      </c>
      <c r="F208" s="33"/>
      <c r="G208" s="63">
        <v>3000</v>
      </c>
      <c r="H208" s="63">
        <v>4500</v>
      </c>
      <c r="I208" s="63">
        <v>4500</v>
      </c>
      <c r="J208" s="63">
        <v>4500</v>
      </c>
      <c r="K208" s="63">
        <v>4500</v>
      </c>
      <c r="L208" s="63">
        <v>4500</v>
      </c>
      <c r="M208" s="63">
        <v>4500</v>
      </c>
      <c r="N208" s="63">
        <v>4500</v>
      </c>
      <c r="O208" s="63">
        <v>4500</v>
      </c>
      <c r="P208" s="63">
        <v>4500</v>
      </c>
      <c r="Q208" s="63">
        <v>4500</v>
      </c>
      <c r="R208" s="63">
        <v>4500</v>
      </c>
      <c r="S208" s="63">
        <v>4500</v>
      </c>
      <c r="T208" s="63">
        <v>4500</v>
      </c>
      <c r="U208" s="63">
        <v>4500</v>
      </c>
      <c r="V208" s="67">
        <f t="shared" si="81"/>
        <v>34500</v>
      </c>
    </row>
    <row r="209" spans="2:25">
      <c r="B209" s="27" t="s">
        <v>670</v>
      </c>
      <c r="C209" s="33" t="s">
        <v>671</v>
      </c>
      <c r="D209" s="33" t="s">
        <v>359</v>
      </c>
      <c r="E209" s="33" t="s">
        <v>672</v>
      </c>
      <c r="F209" s="33"/>
      <c r="G209" s="34">
        <f t="shared" ref="G209:U209" si="83">G$117*N(G208)*$F$49/1000</f>
        <v>8.2104593999999995</v>
      </c>
      <c r="H209" s="34">
        <f t="shared" si="83"/>
        <v>12.315689099999998</v>
      </c>
      <c r="I209" s="34">
        <f t="shared" si="83"/>
        <v>12.315689099999998</v>
      </c>
      <c r="J209" s="34">
        <f t="shared" si="83"/>
        <v>12.315689099999998</v>
      </c>
      <c r="K209" s="34">
        <f t="shared" si="83"/>
        <v>12.315689099999998</v>
      </c>
      <c r="L209" s="34">
        <f t="shared" si="83"/>
        <v>12.315689099999998</v>
      </c>
      <c r="M209" s="34">
        <f t="shared" si="83"/>
        <v>12.315689099999998</v>
      </c>
      <c r="N209" s="34">
        <f t="shared" si="83"/>
        <v>12.315689099999998</v>
      </c>
      <c r="O209" s="34">
        <f t="shared" si="83"/>
        <v>0</v>
      </c>
      <c r="P209" s="34">
        <f t="shared" si="83"/>
        <v>0</v>
      </c>
      <c r="Q209" s="34">
        <f t="shared" si="83"/>
        <v>0</v>
      </c>
      <c r="R209" s="34">
        <f t="shared" si="83"/>
        <v>0</v>
      </c>
      <c r="S209" s="34">
        <f t="shared" si="83"/>
        <v>0</v>
      </c>
      <c r="T209" s="34">
        <f t="shared" si="83"/>
        <v>0</v>
      </c>
      <c r="U209" s="34">
        <f t="shared" si="83"/>
        <v>0</v>
      </c>
      <c r="V209" s="34">
        <f t="shared" si="81"/>
        <v>94.420283099999992</v>
      </c>
    </row>
    <row r="210" spans="2:25">
      <c r="B210" s="27" t="s">
        <v>673</v>
      </c>
      <c r="C210" s="33" t="s">
        <v>674</v>
      </c>
      <c r="D210" s="33" t="s">
        <v>359</v>
      </c>
      <c r="E210" s="33" t="s">
        <v>153</v>
      </c>
      <c r="F210" s="33"/>
      <c r="G210" s="34">
        <f t="shared" ref="G210:U210" si="84">G207+G209</f>
        <v>47.210459399999998</v>
      </c>
      <c r="H210" s="34">
        <f t="shared" si="84"/>
        <v>70.8156891</v>
      </c>
      <c r="I210" s="34">
        <f t="shared" si="84"/>
        <v>70.8156891</v>
      </c>
      <c r="J210" s="34">
        <f t="shared" si="84"/>
        <v>70.8156891</v>
      </c>
      <c r="K210" s="34">
        <f t="shared" si="84"/>
        <v>70.8156891</v>
      </c>
      <c r="L210" s="34">
        <f t="shared" si="84"/>
        <v>70.8156891</v>
      </c>
      <c r="M210" s="34">
        <f t="shared" si="84"/>
        <v>70.8156891</v>
      </c>
      <c r="N210" s="34">
        <f t="shared" si="84"/>
        <v>70.8156891</v>
      </c>
      <c r="O210" s="34">
        <f t="shared" si="84"/>
        <v>0</v>
      </c>
      <c r="P210" s="34">
        <f t="shared" si="84"/>
        <v>0</v>
      </c>
      <c r="Q210" s="34">
        <f t="shared" si="84"/>
        <v>0</v>
      </c>
      <c r="R210" s="34">
        <f t="shared" si="84"/>
        <v>0</v>
      </c>
      <c r="S210" s="34">
        <f t="shared" si="84"/>
        <v>0</v>
      </c>
      <c r="T210" s="34">
        <f t="shared" si="84"/>
        <v>0</v>
      </c>
      <c r="U210" s="34">
        <f t="shared" si="84"/>
        <v>0</v>
      </c>
      <c r="V210" s="34">
        <f t="shared" si="81"/>
        <v>542.92028310000001</v>
      </c>
    </row>
    <row r="211" spans="2:25" ht="21">
      <c r="B211" s="27" t="s">
        <v>675</v>
      </c>
      <c r="C211" s="33"/>
      <c r="D211" s="33" t="s">
        <v>669</v>
      </c>
      <c r="E211" s="33" t="s">
        <v>456</v>
      </c>
      <c r="F211" s="33"/>
      <c r="G211" s="63">
        <v>1700</v>
      </c>
      <c r="H211" s="63">
        <v>2467</v>
      </c>
      <c r="I211" s="63">
        <v>2857</v>
      </c>
      <c r="J211" s="63">
        <v>2843</v>
      </c>
      <c r="K211" s="63">
        <v>2837</v>
      </c>
      <c r="L211" s="63">
        <v>2808</v>
      </c>
      <c r="M211" s="63">
        <v>2779</v>
      </c>
      <c r="N211" s="63">
        <v>2779</v>
      </c>
      <c r="O211" s="63">
        <v>2779</v>
      </c>
      <c r="P211" s="63">
        <v>2779</v>
      </c>
      <c r="Q211" s="63">
        <v>2779</v>
      </c>
      <c r="R211" s="63">
        <v>2779</v>
      </c>
      <c r="S211" s="63">
        <v>2779</v>
      </c>
      <c r="T211" s="63">
        <v>2779</v>
      </c>
      <c r="U211" s="63">
        <v>2779</v>
      </c>
      <c r="V211" s="67">
        <f t="shared" si="81"/>
        <v>21070</v>
      </c>
      <c r="Y211" s="50" t="s">
        <v>805</v>
      </c>
    </row>
    <row r="212" spans="2:25" ht="21">
      <c r="B212" s="27" t="s">
        <v>676</v>
      </c>
      <c r="C212" s="33" t="s">
        <v>677</v>
      </c>
      <c r="D212" s="33" t="s">
        <v>359</v>
      </c>
      <c r="E212" s="33" t="s">
        <v>678</v>
      </c>
      <c r="F212" s="33"/>
      <c r="G212" s="34">
        <f t="shared" ref="G212:U212" si="85">IF($F$50="Manual, or electric on 100% RE",0,G$117*N(G211)*$F$52/1000)</f>
        <v>4.65259366</v>
      </c>
      <c r="H212" s="34">
        <f t="shared" si="85"/>
        <v>6.7517344465999996</v>
      </c>
      <c r="I212" s="34">
        <f t="shared" si="85"/>
        <v>7.8190941685999986</v>
      </c>
      <c r="J212" s="34">
        <f t="shared" si="85"/>
        <v>7.7807786913999992</v>
      </c>
      <c r="K212" s="34">
        <f t="shared" si="85"/>
        <v>7.7643577725999995</v>
      </c>
      <c r="L212" s="34">
        <f t="shared" si="85"/>
        <v>7.6849899983999999</v>
      </c>
      <c r="M212" s="34">
        <f t="shared" si="85"/>
        <v>7.6056222241999993</v>
      </c>
      <c r="N212" s="34">
        <f t="shared" si="85"/>
        <v>7.6056222241999993</v>
      </c>
      <c r="O212" s="34">
        <f t="shared" si="85"/>
        <v>0</v>
      </c>
      <c r="P212" s="34">
        <f t="shared" si="85"/>
        <v>0</v>
      </c>
      <c r="Q212" s="34">
        <f t="shared" si="85"/>
        <v>0</v>
      </c>
      <c r="R212" s="34">
        <f t="shared" si="85"/>
        <v>0</v>
      </c>
      <c r="S212" s="34">
        <f t="shared" si="85"/>
        <v>0</v>
      </c>
      <c r="T212" s="34">
        <f t="shared" si="85"/>
        <v>0</v>
      </c>
      <c r="U212" s="34">
        <f t="shared" si="85"/>
        <v>0</v>
      </c>
      <c r="V212" s="34">
        <f t="shared" si="81"/>
        <v>57.66479318599999</v>
      </c>
    </row>
    <row r="213" spans="2:25" ht="42">
      <c r="B213" s="27" t="s">
        <v>679</v>
      </c>
      <c r="C213" s="33" t="s">
        <v>680</v>
      </c>
      <c r="D213" s="33" t="s">
        <v>359</v>
      </c>
      <c r="E213" s="33" t="s">
        <v>681</v>
      </c>
      <c r="F213" s="33"/>
      <c r="G213" s="69">
        <v>58.7</v>
      </c>
      <c r="H213" s="69">
        <v>95.8</v>
      </c>
      <c r="I213" s="69">
        <v>115.1</v>
      </c>
      <c r="J213" s="69">
        <v>112.8</v>
      </c>
      <c r="K213" s="69">
        <v>111.9</v>
      </c>
      <c r="L213" s="69">
        <v>107.5</v>
      </c>
      <c r="M213" s="69">
        <v>102.6</v>
      </c>
      <c r="N213" s="69">
        <v>102.6</v>
      </c>
      <c r="O213" s="69">
        <v>102.6</v>
      </c>
      <c r="P213" s="69">
        <v>102.9</v>
      </c>
      <c r="Q213" s="69">
        <v>102.6</v>
      </c>
      <c r="R213" s="69">
        <v>102.6</v>
      </c>
      <c r="S213" s="69">
        <v>102.6</v>
      </c>
      <c r="T213" s="69">
        <v>102.9</v>
      </c>
      <c r="U213" s="69">
        <v>102.6</v>
      </c>
      <c r="V213" s="34">
        <f t="shared" si="81"/>
        <v>807.00000000000011</v>
      </c>
      <c r="Y213" s="50" t="s">
        <v>789</v>
      </c>
    </row>
    <row r="214" spans="2:25">
      <c r="B214" s="27" t="s">
        <v>683</v>
      </c>
      <c r="C214" s="33" t="s">
        <v>684</v>
      </c>
      <c r="D214" s="33" t="s">
        <v>359</v>
      </c>
      <c r="E214" s="33" t="s">
        <v>685</v>
      </c>
      <c r="F214" s="33"/>
      <c r="G214" s="69">
        <v>0</v>
      </c>
      <c r="H214" s="69">
        <v>0</v>
      </c>
      <c r="I214" s="69">
        <v>0</v>
      </c>
      <c r="J214" s="69">
        <v>0</v>
      </c>
      <c r="K214" s="69">
        <v>0</v>
      </c>
      <c r="L214" s="69">
        <v>0</v>
      </c>
      <c r="M214" s="69">
        <v>0</v>
      </c>
      <c r="N214" s="69">
        <v>0</v>
      </c>
      <c r="O214" s="69">
        <v>0</v>
      </c>
      <c r="P214" s="69">
        <v>0</v>
      </c>
      <c r="Q214" s="69">
        <v>0</v>
      </c>
      <c r="R214" s="69">
        <v>0</v>
      </c>
      <c r="S214" s="69">
        <v>0</v>
      </c>
      <c r="T214" s="69">
        <v>0</v>
      </c>
      <c r="U214" s="69">
        <v>0</v>
      </c>
      <c r="V214" s="34">
        <f t="shared" si="81"/>
        <v>0</v>
      </c>
      <c r="Y214" s="50" t="s">
        <v>686</v>
      </c>
    </row>
    <row r="215" spans="2:25">
      <c r="B215" s="27" t="s">
        <v>687</v>
      </c>
      <c r="C215" s="33" t="s">
        <v>688</v>
      </c>
      <c r="D215" s="33" t="s">
        <v>359</v>
      </c>
      <c r="E215" s="33" t="s">
        <v>689</v>
      </c>
      <c r="F215" s="33"/>
      <c r="G215" s="34">
        <f t="shared" ref="G215:U215" si="86">IF($G$88="FST",G130+G132,0)+IF($G$89="FST",G131+G133,0)+IF($H$88="FST",G144+G146,0)+IF($H$89="FST",G145+G147,0)+IF($I$88="FST",G158+G160,0)+IF($I$89="FST",G159+G161,0)+IF($J$88="FST",G172+G174,0)+IF($J$89="FST",G173+G175,0)+IF($K$88="FST",G186+G188,0)+IF($K$89="FST",G187+G189,0)</f>
        <v>4.5943298609420848</v>
      </c>
      <c r="H215" s="34">
        <f t="shared" si="86"/>
        <v>4.5943298609420848</v>
      </c>
      <c r="I215" s="34">
        <f t="shared" si="86"/>
        <v>4.5943298609420848</v>
      </c>
      <c r="J215" s="34">
        <f t="shared" si="86"/>
        <v>4.5943298609420848</v>
      </c>
      <c r="K215" s="34">
        <f t="shared" si="86"/>
        <v>4.5943298609420848</v>
      </c>
      <c r="L215" s="34">
        <f t="shared" si="86"/>
        <v>4.5943298609420848</v>
      </c>
      <c r="M215" s="34">
        <f t="shared" si="86"/>
        <v>4.5943298609420848</v>
      </c>
      <c r="N215" s="34">
        <f t="shared" si="86"/>
        <v>4.5943298609420848</v>
      </c>
      <c r="O215" s="34">
        <f t="shared" si="86"/>
        <v>0</v>
      </c>
      <c r="P215" s="34">
        <f t="shared" si="86"/>
        <v>0</v>
      </c>
      <c r="Q215" s="34">
        <f t="shared" si="86"/>
        <v>0</v>
      </c>
      <c r="R215" s="34">
        <f t="shared" si="86"/>
        <v>0</v>
      </c>
      <c r="S215" s="34">
        <f t="shared" si="86"/>
        <v>0</v>
      </c>
      <c r="T215" s="34">
        <f t="shared" si="86"/>
        <v>0</v>
      </c>
      <c r="U215" s="34">
        <f t="shared" si="86"/>
        <v>0</v>
      </c>
      <c r="V215" s="34">
        <f t="shared" si="81"/>
        <v>36.754638887536679</v>
      </c>
    </row>
    <row r="216" spans="2:25" ht="22.5">
      <c r="B216" s="27" t="s">
        <v>690</v>
      </c>
      <c r="C216" s="33" t="s">
        <v>691</v>
      </c>
      <c r="D216" s="33" t="s">
        <v>359</v>
      </c>
      <c r="E216" s="33" t="s">
        <v>156</v>
      </c>
      <c r="F216" s="33"/>
      <c r="G216" s="34">
        <f t="shared" ref="G216:U216" si="87">IF($G$88="WW",G130+G132,0)+IF($G$89="WW",G131+G133,0)+IF($H$88="WW",G144+G146,0)+IF($H$89="WW",G145+G147,0)+IF($I$88="WW",G158+G160,0)+IF($I$89="WW",G159+G161,0)+IF($J$88="WW",G172+G174,0)+IF($J$89="WW",G173+G175,0)+IF($K$88="WW",G186+G188,0)+IF($K$89="WW",G187+G189,0)</f>
        <v>0</v>
      </c>
      <c r="H216" s="34">
        <f t="shared" si="87"/>
        <v>0</v>
      </c>
      <c r="I216" s="34">
        <f t="shared" si="87"/>
        <v>0</v>
      </c>
      <c r="J216" s="34">
        <f t="shared" si="87"/>
        <v>0</v>
      </c>
      <c r="K216" s="34">
        <f t="shared" si="87"/>
        <v>0</v>
      </c>
      <c r="L216" s="34">
        <f t="shared" si="87"/>
        <v>0</v>
      </c>
      <c r="M216" s="34">
        <f t="shared" si="87"/>
        <v>0</v>
      </c>
      <c r="N216" s="34">
        <f t="shared" si="87"/>
        <v>0</v>
      </c>
      <c r="O216" s="34">
        <f t="shared" si="87"/>
        <v>0</v>
      </c>
      <c r="P216" s="34">
        <f t="shared" si="87"/>
        <v>0</v>
      </c>
      <c r="Q216" s="34">
        <f t="shared" si="87"/>
        <v>0</v>
      </c>
      <c r="R216" s="34">
        <f t="shared" si="87"/>
        <v>0</v>
      </c>
      <c r="S216" s="34">
        <f t="shared" si="87"/>
        <v>0</v>
      </c>
      <c r="T216" s="34">
        <f t="shared" si="87"/>
        <v>0</v>
      </c>
      <c r="U216" s="34">
        <f t="shared" si="87"/>
        <v>0</v>
      </c>
      <c r="V216" s="34">
        <f t="shared" si="81"/>
        <v>0</v>
      </c>
    </row>
    <row r="217" spans="2:25">
      <c r="B217" s="27" t="s">
        <v>692</v>
      </c>
      <c r="C217" s="33"/>
      <c r="D217" s="33" t="s">
        <v>693</v>
      </c>
      <c r="E217" s="33" t="s">
        <v>257</v>
      </c>
      <c r="F217" s="33"/>
      <c r="G217" s="63">
        <v>0</v>
      </c>
      <c r="H217" s="63">
        <v>0</v>
      </c>
      <c r="I217" s="63">
        <v>0</v>
      </c>
      <c r="J217" s="63">
        <v>0</v>
      </c>
      <c r="K217" s="63">
        <v>0</v>
      </c>
      <c r="L217" s="63">
        <v>0</v>
      </c>
      <c r="M217" s="63">
        <v>0</v>
      </c>
      <c r="N217" s="63">
        <v>0</v>
      </c>
      <c r="O217" s="63">
        <v>0</v>
      </c>
      <c r="P217" s="63">
        <v>0</v>
      </c>
      <c r="Q217" s="63">
        <v>0</v>
      </c>
      <c r="R217" s="63">
        <v>0</v>
      </c>
      <c r="S217" s="63">
        <v>0</v>
      </c>
      <c r="T217" s="63">
        <v>0</v>
      </c>
      <c r="U217" s="63">
        <v>0</v>
      </c>
      <c r="V217" s="67">
        <f t="shared" si="81"/>
        <v>0</v>
      </c>
      <c r="Y217" s="50" t="s">
        <v>694</v>
      </c>
    </row>
    <row r="218" spans="2:25" ht="22.5">
      <c r="B218" s="27" t="s">
        <v>695</v>
      </c>
      <c r="C218" s="33"/>
      <c r="D218" s="33" t="s">
        <v>696</v>
      </c>
      <c r="E218" s="33" t="s">
        <v>257</v>
      </c>
      <c r="F218" s="33"/>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33"/>
    </row>
    <row r="219" spans="2:25">
      <c r="B219" s="27" t="s">
        <v>697</v>
      </c>
      <c r="C219" s="33"/>
      <c r="D219" s="33" t="s">
        <v>359</v>
      </c>
      <c r="E219" s="33" t="s">
        <v>156</v>
      </c>
      <c r="F219" s="33"/>
      <c r="G219" s="34">
        <f t="shared" ref="G219:U219" si="88">G$117*N(G217)*N(G218)*$F$25*$F$55*$F$30/1000</f>
        <v>0</v>
      </c>
      <c r="H219" s="34">
        <f t="shared" si="88"/>
        <v>0</v>
      </c>
      <c r="I219" s="34">
        <f t="shared" si="88"/>
        <v>0</v>
      </c>
      <c r="J219" s="34">
        <f t="shared" si="88"/>
        <v>0</v>
      </c>
      <c r="K219" s="34">
        <f t="shared" si="88"/>
        <v>0</v>
      </c>
      <c r="L219" s="34">
        <f t="shared" si="88"/>
        <v>0</v>
      </c>
      <c r="M219" s="34">
        <f t="shared" si="88"/>
        <v>0</v>
      </c>
      <c r="N219" s="34">
        <f t="shared" si="88"/>
        <v>0</v>
      </c>
      <c r="O219" s="34">
        <f t="shared" si="88"/>
        <v>0</v>
      </c>
      <c r="P219" s="34">
        <f t="shared" si="88"/>
        <v>0</v>
      </c>
      <c r="Q219" s="34">
        <f t="shared" si="88"/>
        <v>0</v>
      </c>
      <c r="R219" s="34">
        <f t="shared" si="88"/>
        <v>0</v>
      </c>
      <c r="S219" s="34">
        <f t="shared" si="88"/>
        <v>0</v>
      </c>
      <c r="T219" s="34">
        <f t="shared" si="88"/>
        <v>0</v>
      </c>
      <c r="U219" s="34">
        <f t="shared" si="88"/>
        <v>0</v>
      </c>
      <c r="V219" s="34">
        <f>SUMPRODUCT($G$117:$U$117,G219:U219)</f>
        <v>0</v>
      </c>
    </row>
    <row r="220" spans="2:25">
      <c r="B220" s="27" t="s">
        <v>698</v>
      </c>
      <c r="C220" s="33"/>
      <c r="D220" s="33" t="s">
        <v>359</v>
      </c>
      <c r="E220" s="33" t="s">
        <v>156</v>
      </c>
      <c r="F220" s="33"/>
      <c r="G220" s="69">
        <v>0</v>
      </c>
      <c r="H220" s="69">
        <v>0</v>
      </c>
      <c r="I220" s="69">
        <v>0</v>
      </c>
      <c r="J220" s="69">
        <v>0</v>
      </c>
      <c r="K220" s="69">
        <v>0</v>
      </c>
      <c r="L220" s="69">
        <v>0</v>
      </c>
      <c r="M220" s="69">
        <v>0</v>
      </c>
      <c r="N220" s="69">
        <v>0</v>
      </c>
      <c r="O220" s="69">
        <v>0</v>
      </c>
      <c r="P220" s="69">
        <v>0</v>
      </c>
      <c r="Q220" s="69">
        <v>0</v>
      </c>
      <c r="R220" s="69">
        <v>0</v>
      </c>
      <c r="S220" s="69">
        <v>0</v>
      </c>
      <c r="T220" s="69">
        <v>0</v>
      </c>
      <c r="U220" s="69">
        <v>0</v>
      </c>
      <c r="V220" s="34">
        <f>SUMPRODUCT($G$117:$U$117,G220:U220)</f>
        <v>0</v>
      </c>
    </row>
    <row r="221" spans="2:25">
      <c r="B221" s="27" t="s">
        <v>699</v>
      </c>
      <c r="C221" s="33" t="s">
        <v>700</v>
      </c>
      <c r="D221" s="33" t="s">
        <v>359</v>
      </c>
      <c r="E221" s="33" t="s">
        <v>156</v>
      </c>
      <c r="F221" s="33"/>
      <c r="G221" s="34">
        <f t="shared" ref="G221:U221" si="89">G219+G$117*N(G220)</f>
        <v>0</v>
      </c>
      <c r="H221" s="34">
        <f t="shared" si="89"/>
        <v>0</v>
      </c>
      <c r="I221" s="34">
        <f t="shared" si="89"/>
        <v>0</v>
      </c>
      <c r="J221" s="34">
        <f t="shared" si="89"/>
        <v>0</v>
      </c>
      <c r="K221" s="34">
        <f t="shared" si="89"/>
        <v>0</v>
      </c>
      <c r="L221" s="34">
        <f t="shared" si="89"/>
        <v>0</v>
      </c>
      <c r="M221" s="34">
        <f t="shared" si="89"/>
        <v>0</v>
      </c>
      <c r="N221" s="34">
        <f t="shared" si="89"/>
        <v>0</v>
      </c>
      <c r="O221" s="34">
        <f t="shared" si="89"/>
        <v>0</v>
      </c>
      <c r="P221" s="34">
        <f t="shared" si="89"/>
        <v>0</v>
      </c>
      <c r="Q221" s="34">
        <f t="shared" si="89"/>
        <v>0</v>
      </c>
      <c r="R221" s="34">
        <f t="shared" si="89"/>
        <v>0</v>
      </c>
      <c r="S221" s="34">
        <f t="shared" si="89"/>
        <v>0</v>
      </c>
      <c r="T221" s="34">
        <f t="shared" si="89"/>
        <v>0</v>
      </c>
      <c r="U221" s="34">
        <f t="shared" si="89"/>
        <v>0</v>
      </c>
      <c r="V221" s="34">
        <f>SUMPRODUCT($G$117:$U$117,G221:U221)</f>
        <v>0</v>
      </c>
    </row>
    <row r="222" spans="2:25">
      <c r="B222" s="30" t="s">
        <v>701</v>
      </c>
      <c r="C222" s="33" t="s">
        <v>702</v>
      </c>
      <c r="D222" s="33" t="s">
        <v>359</v>
      </c>
      <c r="E222" s="33" t="s">
        <v>149</v>
      </c>
      <c r="F222" s="33"/>
      <c r="G222" s="31">
        <f t="shared" ref="G222:U222" si="90">G210+G212+G$117*(N(G213)+N(G214))+G215+G216+G221</f>
        <v>115.15738292094208</v>
      </c>
      <c r="H222" s="31">
        <f t="shared" si="90"/>
        <v>177.96175340754206</v>
      </c>
      <c r="I222" s="31">
        <f t="shared" si="90"/>
        <v>198.32911312954207</v>
      </c>
      <c r="J222" s="31">
        <f t="shared" si="90"/>
        <v>195.99079765234208</v>
      </c>
      <c r="K222" s="31">
        <f t="shared" si="90"/>
        <v>195.07437673354207</v>
      </c>
      <c r="L222" s="31">
        <f t="shared" si="90"/>
        <v>190.59500895934207</v>
      </c>
      <c r="M222" s="31">
        <f t="shared" si="90"/>
        <v>185.61564118514207</v>
      </c>
      <c r="N222" s="31">
        <f t="shared" si="90"/>
        <v>185.61564118514207</v>
      </c>
      <c r="O222" s="31">
        <f t="shared" si="90"/>
        <v>0</v>
      </c>
      <c r="P222" s="31">
        <f t="shared" si="90"/>
        <v>0</v>
      </c>
      <c r="Q222" s="31">
        <f t="shared" si="90"/>
        <v>0</v>
      </c>
      <c r="R222" s="31">
        <f t="shared" si="90"/>
        <v>0</v>
      </c>
      <c r="S222" s="31">
        <f t="shared" si="90"/>
        <v>0</v>
      </c>
      <c r="T222" s="31">
        <f t="shared" si="90"/>
        <v>0</v>
      </c>
      <c r="U222" s="31">
        <f t="shared" si="90"/>
        <v>0</v>
      </c>
      <c r="V222" s="31">
        <f>SUMPRODUCT($G$117:$U$117,G222:U222)</f>
        <v>1444.3397151735367</v>
      </c>
    </row>
    <row r="224" spans="2:25" ht="30" customHeight="1">
      <c r="B224" s="25" t="s">
        <v>703</v>
      </c>
      <c r="C224" s="25" t="s">
        <v>369</v>
      </c>
      <c r="D224" s="25" t="s">
        <v>370</v>
      </c>
      <c r="E224" s="25" t="s">
        <v>371</v>
      </c>
      <c r="F224" s="25"/>
      <c r="G224" s="26">
        <f t="shared" ref="G224:U224" si="91">G$114</f>
        <v>1</v>
      </c>
      <c r="H224" s="26">
        <f t="shared" si="91"/>
        <v>2</v>
      </c>
      <c r="I224" s="26">
        <f t="shared" si="91"/>
        <v>3</v>
      </c>
      <c r="J224" s="26">
        <f t="shared" si="91"/>
        <v>4</v>
      </c>
      <c r="K224" s="26">
        <f t="shared" si="91"/>
        <v>5</v>
      </c>
      <c r="L224" s="26">
        <f t="shared" si="91"/>
        <v>6</v>
      </c>
      <c r="M224" s="26">
        <f t="shared" si="91"/>
        <v>7</v>
      </c>
      <c r="N224" s="26">
        <f t="shared" si="91"/>
        <v>8</v>
      </c>
      <c r="O224" s="26">
        <f t="shared" si="91"/>
        <v>9</v>
      </c>
      <c r="P224" s="26">
        <f t="shared" si="91"/>
        <v>10</v>
      </c>
      <c r="Q224" s="26">
        <f t="shared" si="91"/>
        <v>11</v>
      </c>
      <c r="R224" s="26">
        <f t="shared" si="91"/>
        <v>12</v>
      </c>
      <c r="S224" s="26">
        <f t="shared" si="91"/>
        <v>13</v>
      </c>
      <c r="T224" s="26">
        <f t="shared" si="91"/>
        <v>14</v>
      </c>
      <c r="U224" s="26">
        <f t="shared" si="91"/>
        <v>15</v>
      </c>
      <c r="V224" s="26" t="s">
        <v>602</v>
      </c>
      <c r="W224" s="26" t="s">
        <v>704</v>
      </c>
      <c r="X224" s="26" t="s">
        <v>705</v>
      </c>
      <c r="Y224" s="25" t="s">
        <v>324</v>
      </c>
    </row>
    <row r="225" spans="2:25">
      <c r="B225" s="27" t="str">
        <f>"Item 1: "&amp;IF($G$100="","not used",$G$100)</f>
        <v>Item 1: CBS containers, batch 1</v>
      </c>
      <c r="C225" s="33" t="str">
        <f>IF($G$101="","",$G$101)</f>
        <v>Tier 1</v>
      </c>
      <c r="D225" s="33" t="s">
        <v>359</v>
      </c>
      <c r="E225" s="33" t="s">
        <v>174</v>
      </c>
      <c r="F225" s="33"/>
      <c r="G225" s="34">
        <f t="shared" ref="G225:U225" si="92">IF(OR(G$117=0,$G$101="",N($G$107)=0),0,IF($G$101="Tier 1",IF(AND(G$114&gt;=$G$108,IF(N($G$109)&gt;0,MOD(G$114-$G$108,$G$109)=0,G$114=$G$108)),$G$107,0),$G$107/($G$110*365)*MAX(0,MIN(G$119+1,$G$111+$G$110*365)-MAX(G$118,$G$111))))</f>
        <v>110</v>
      </c>
      <c r="H225" s="34">
        <f t="shared" si="92"/>
        <v>0</v>
      </c>
      <c r="I225" s="34">
        <f t="shared" si="92"/>
        <v>0</v>
      </c>
      <c r="J225" s="34">
        <f t="shared" si="92"/>
        <v>110</v>
      </c>
      <c r="K225" s="34">
        <f t="shared" si="92"/>
        <v>0</v>
      </c>
      <c r="L225" s="34">
        <f t="shared" si="92"/>
        <v>0</v>
      </c>
      <c r="M225" s="34">
        <f t="shared" si="92"/>
        <v>110</v>
      </c>
      <c r="N225" s="34">
        <f t="shared" si="92"/>
        <v>0</v>
      </c>
      <c r="O225" s="34">
        <f t="shared" si="92"/>
        <v>0</v>
      </c>
      <c r="P225" s="34">
        <f t="shared" si="92"/>
        <v>0</v>
      </c>
      <c r="Q225" s="34">
        <f t="shared" si="92"/>
        <v>0</v>
      </c>
      <c r="R225" s="34">
        <f t="shared" si="92"/>
        <v>0</v>
      </c>
      <c r="S225" s="34">
        <f t="shared" si="92"/>
        <v>0</v>
      </c>
      <c r="T225" s="34">
        <f t="shared" si="92"/>
        <v>0</v>
      </c>
      <c r="U225" s="34">
        <f t="shared" si="92"/>
        <v>0</v>
      </c>
      <c r="V225" s="34">
        <f t="shared" ref="V225:V240" si="93">SUMPRODUCT($G$117:$U$117,G225:U225)</f>
        <v>330</v>
      </c>
      <c r="W225" s="34">
        <f t="shared" ref="W225:W232" si="94">IF($F$44&gt;0,SUMPRODUCT(($G$114:$U$114&lt;=$F$44)*(G225:U225)),0)</f>
        <v>330</v>
      </c>
      <c r="X225" s="34">
        <f>IF(AND($F$44&gt;0,$G$101&lt;&gt;"",$G$101&lt;&gt;"Tier 1",N($G$108)&lt;=$F$44),$G$107-W225,0)</f>
        <v>0</v>
      </c>
    </row>
    <row r="226" spans="2:25">
      <c r="B226" s="27" t="str">
        <f>"Item 2: "&amp;IF($H$100="","not used",$H$100)</f>
        <v>Item 2: CBS containers, batch 2</v>
      </c>
      <c r="C226" s="33" t="str">
        <f>IF($H$101="","",$H$101)</f>
        <v>Tier 1</v>
      </c>
      <c r="D226" s="33" t="s">
        <v>359</v>
      </c>
      <c r="E226" s="33" t="s">
        <v>174</v>
      </c>
      <c r="F226" s="33"/>
      <c r="G226" s="34">
        <f t="shared" ref="G226:U226" si="95">IF(OR(G$117=0,$H$101="",N($H$107)=0),0,IF($H$101="Tier 1",IF(AND(G$114&gt;=$H$108,IF(N($H$109)&gt;0,MOD(G$114-$H$108,$H$109)=0,G$114=$H$108)),$H$107,0),$H$107/($H$110*365)*MAX(0,MIN(G$119+1,$H$111+$H$110*365)-MAX(G$118,$H$111))))</f>
        <v>0</v>
      </c>
      <c r="H226" s="34">
        <f t="shared" si="95"/>
        <v>130</v>
      </c>
      <c r="I226" s="34">
        <f t="shared" si="95"/>
        <v>0</v>
      </c>
      <c r="J226" s="34">
        <f t="shared" si="95"/>
        <v>0</v>
      </c>
      <c r="K226" s="34">
        <f t="shared" si="95"/>
        <v>130</v>
      </c>
      <c r="L226" s="34">
        <f t="shared" si="95"/>
        <v>0</v>
      </c>
      <c r="M226" s="34">
        <f t="shared" si="95"/>
        <v>0</v>
      </c>
      <c r="N226" s="34">
        <f t="shared" si="95"/>
        <v>130</v>
      </c>
      <c r="O226" s="34">
        <f t="shared" si="95"/>
        <v>0</v>
      </c>
      <c r="P226" s="34">
        <f t="shared" si="95"/>
        <v>0</v>
      </c>
      <c r="Q226" s="34">
        <f t="shared" si="95"/>
        <v>0</v>
      </c>
      <c r="R226" s="34">
        <f t="shared" si="95"/>
        <v>0</v>
      </c>
      <c r="S226" s="34">
        <f t="shared" si="95"/>
        <v>0</v>
      </c>
      <c r="T226" s="34">
        <f t="shared" si="95"/>
        <v>0</v>
      </c>
      <c r="U226" s="34">
        <f t="shared" si="95"/>
        <v>0</v>
      </c>
      <c r="V226" s="34">
        <f t="shared" si="93"/>
        <v>390</v>
      </c>
      <c r="W226" s="34">
        <f t="shared" si="94"/>
        <v>390</v>
      </c>
      <c r="X226" s="34">
        <f>IF(AND($F$44&gt;0,$H$101&lt;&gt;"",$H$101&lt;&gt;"Tier 1",N($H$108)&lt;=$F$44),$H$107-W226,0)</f>
        <v>0</v>
      </c>
    </row>
    <row r="227" spans="2:25">
      <c r="B227" s="27" t="str">
        <f>"Item 3: "&amp;IF($I$100="","not used",$I$100)</f>
        <v>Item 3: Shared CBS toilet cabins (steel sheet)</v>
      </c>
      <c r="C227" s="33" t="str">
        <f>IF($I$101="","",$I$101)</f>
        <v>Tier 2</v>
      </c>
      <c r="D227" s="33" t="s">
        <v>359</v>
      </c>
      <c r="E227" s="33" t="s">
        <v>174</v>
      </c>
      <c r="F227" s="33"/>
      <c r="G227" s="34">
        <f t="shared" ref="G227:U227" si="96">IF(OR(G$117=0,$I$101="",N($I$107)=0),0,IF($I$101="Tier 1",IF(AND(G$114&gt;=$I$108,IF(N($I$109)&gt;0,MOD(G$114-$I$108,$I$109)=0,G$114=$I$108)),$I$107,0),$I$107/($I$110*365)*MAX(0,MIN(G$119+1,$I$111+$I$110*365)-MAX(G$118,$I$111))))</f>
        <v>86.399999999999991</v>
      </c>
      <c r="H227" s="34">
        <f t="shared" si="96"/>
        <v>86.636712328767118</v>
      </c>
      <c r="I227" s="34">
        <f t="shared" si="96"/>
        <v>86.399999999999991</v>
      </c>
      <c r="J227" s="34">
        <f t="shared" si="96"/>
        <v>86.399999999999991</v>
      </c>
      <c r="K227" s="34">
        <f t="shared" si="96"/>
        <v>86.163287671232879</v>
      </c>
      <c r="L227" s="34">
        <f t="shared" si="96"/>
        <v>0</v>
      </c>
      <c r="M227" s="34">
        <f t="shared" si="96"/>
        <v>0</v>
      </c>
      <c r="N227" s="34">
        <f t="shared" si="96"/>
        <v>0</v>
      </c>
      <c r="O227" s="34">
        <f t="shared" si="96"/>
        <v>0</v>
      </c>
      <c r="P227" s="34">
        <f t="shared" si="96"/>
        <v>0</v>
      </c>
      <c r="Q227" s="34">
        <f t="shared" si="96"/>
        <v>0</v>
      </c>
      <c r="R227" s="34">
        <f t="shared" si="96"/>
        <v>0</v>
      </c>
      <c r="S227" s="34">
        <f t="shared" si="96"/>
        <v>0</v>
      </c>
      <c r="T227" s="34">
        <f t="shared" si="96"/>
        <v>0</v>
      </c>
      <c r="U227" s="34">
        <f t="shared" si="96"/>
        <v>0</v>
      </c>
      <c r="V227" s="34">
        <f t="shared" si="93"/>
        <v>431.99999999999994</v>
      </c>
      <c r="W227" s="34">
        <f t="shared" si="94"/>
        <v>431.99999999999994</v>
      </c>
      <c r="X227" s="34">
        <f>IF(AND($F$44&gt;0,$I$101&lt;&gt;"",$I$101&lt;&gt;"Tier 1",N($I$108)&lt;=$F$44),$I$107-W227,0)</f>
        <v>5.6843418860808015E-14</v>
      </c>
    </row>
    <row r="228" spans="2:25">
      <c r="B228" s="27" t="str">
        <f>"Item 4: "&amp;IF($J$100="","not used",$J$100)</f>
        <v>Item 4: Composting site (reinforced concrete)</v>
      </c>
      <c r="C228" s="33" t="str">
        <f>IF($J$101="","",$J$101)</f>
        <v>Tier 3</v>
      </c>
      <c r="D228" s="33" t="s">
        <v>359</v>
      </c>
      <c r="E228" s="33" t="s">
        <v>174</v>
      </c>
      <c r="F228" s="33"/>
      <c r="G228" s="34">
        <f t="shared" ref="G228:U228" si="97">IF(OR(G$117=0,$J$101="",N($J$107)=0),0,IF($J$101="Tier 1",IF(AND(G$114&gt;=$J$108,IF(N($J$109)&gt;0,MOD(G$114-$J$108,$J$109)=0,G$114=$J$108)),$J$107,0),$J$107/($J$110*365)*MAX(0,MIN(G$119+1,$J$111+$J$110*365)-MAX(G$118,$J$111))))</f>
        <v>18</v>
      </c>
      <c r="H228" s="34">
        <f t="shared" si="97"/>
        <v>18.049315068493151</v>
      </c>
      <c r="I228" s="34">
        <f t="shared" si="97"/>
        <v>18</v>
      </c>
      <c r="J228" s="34">
        <f t="shared" si="97"/>
        <v>18</v>
      </c>
      <c r="K228" s="34">
        <f t="shared" si="97"/>
        <v>17.950684931506849</v>
      </c>
      <c r="L228" s="34">
        <f t="shared" si="97"/>
        <v>0</v>
      </c>
      <c r="M228" s="34">
        <f t="shared" si="97"/>
        <v>0</v>
      </c>
      <c r="N228" s="34">
        <f t="shared" si="97"/>
        <v>0</v>
      </c>
      <c r="O228" s="34">
        <f t="shared" si="97"/>
        <v>0</v>
      </c>
      <c r="P228" s="34">
        <f t="shared" si="97"/>
        <v>0</v>
      </c>
      <c r="Q228" s="34">
        <f t="shared" si="97"/>
        <v>0</v>
      </c>
      <c r="R228" s="34">
        <f t="shared" si="97"/>
        <v>0</v>
      </c>
      <c r="S228" s="34">
        <f t="shared" si="97"/>
        <v>0</v>
      </c>
      <c r="T228" s="34">
        <f t="shared" si="97"/>
        <v>0</v>
      </c>
      <c r="U228" s="34">
        <f t="shared" si="97"/>
        <v>0</v>
      </c>
      <c r="V228" s="34">
        <f t="shared" si="93"/>
        <v>90</v>
      </c>
      <c r="W228" s="34">
        <f t="shared" si="94"/>
        <v>90</v>
      </c>
      <c r="X228" s="34">
        <f>IF(AND($F$44&gt;0,$J$101&lt;&gt;"",$J$101&lt;&gt;"Tier 1",N($J$108)&lt;=$F$44),$J$107-W228,0)</f>
        <v>0</v>
      </c>
    </row>
    <row r="229" spans="2:25">
      <c r="B229" s="27" t="str">
        <f>"Item 5: "&amp;IF($K$100="","not used",$K$100)</f>
        <v>Item 5: Drying beds (reinforced concrete)</v>
      </c>
      <c r="C229" s="33" t="str">
        <f>IF($K$101="","",$K$101)</f>
        <v>Tier 3</v>
      </c>
      <c r="D229" s="33" t="s">
        <v>359</v>
      </c>
      <c r="E229" s="33" t="s">
        <v>174</v>
      </c>
      <c r="F229" s="33"/>
      <c r="G229" s="34">
        <f t="shared" ref="G229:U229" si="98">IF(OR(G$117=0,$K$101="",N($K$107)=0),0,IF($K$101="Tier 1",IF(AND(G$114&gt;=$K$108,IF(N($K$109)&gt;0,MOD(G$114-$K$108,$K$109)=0,G$114=$K$108)),$K$107,0),$K$107/($K$110*365)*MAX(0,MIN(G$119+1,$K$111+$K$110*365)-MAX(G$118,$K$111))))</f>
        <v>5.3999999999999995</v>
      </c>
      <c r="H229" s="34">
        <f t="shared" si="98"/>
        <v>5.4147945205479449</v>
      </c>
      <c r="I229" s="34">
        <f t="shared" si="98"/>
        <v>5.3999999999999995</v>
      </c>
      <c r="J229" s="34">
        <f t="shared" si="98"/>
        <v>5.3999999999999995</v>
      </c>
      <c r="K229" s="34">
        <f t="shared" si="98"/>
        <v>5.385205479452055</v>
      </c>
      <c r="L229" s="34">
        <f t="shared" si="98"/>
        <v>0</v>
      </c>
      <c r="M229" s="34">
        <f t="shared" si="98"/>
        <v>0</v>
      </c>
      <c r="N229" s="34">
        <f t="shared" si="98"/>
        <v>0</v>
      </c>
      <c r="O229" s="34">
        <f t="shared" si="98"/>
        <v>0</v>
      </c>
      <c r="P229" s="34">
        <f t="shared" si="98"/>
        <v>0</v>
      </c>
      <c r="Q229" s="34">
        <f t="shared" si="98"/>
        <v>0</v>
      </c>
      <c r="R229" s="34">
        <f t="shared" si="98"/>
        <v>0</v>
      </c>
      <c r="S229" s="34">
        <f t="shared" si="98"/>
        <v>0</v>
      </c>
      <c r="T229" s="34">
        <f t="shared" si="98"/>
        <v>0</v>
      </c>
      <c r="U229" s="34">
        <f t="shared" si="98"/>
        <v>0</v>
      </c>
      <c r="V229" s="34">
        <f t="shared" si="93"/>
        <v>26.999999999999996</v>
      </c>
      <c r="W229" s="34">
        <f t="shared" si="94"/>
        <v>26.999999999999996</v>
      </c>
      <c r="X229" s="34">
        <f>IF(AND($F$44&gt;0,$K$101&lt;&gt;"",$K$101&lt;&gt;"Tier 1",N($K$108)&lt;=$F$44),$K$107-W229,0)</f>
        <v>3.5527136788005009E-15</v>
      </c>
    </row>
    <row r="230" spans="2:25">
      <c r="B230" s="27" t="str">
        <f>"Item 6: "&amp;IF($L$100="","not used",$L$100)</f>
        <v>Item 6: Vacuum and transfer trucks</v>
      </c>
      <c r="C230" s="33" t="str">
        <f>IF($L$101="","",$L$101)</f>
        <v>Tier 3</v>
      </c>
      <c r="D230" s="33" t="s">
        <v>359</v>
      </c>
      <c r="E230" s="33" t="s">
        <v>174</v>
      </c>
      <c r="F230" s="33"/>
      <c r="G230" s="34">
        <f t="shared" ref="G230:U230" si="99">IF(OR(G$117=0,$L$101="",N($L$107)=0),0,IF($L$101="Tier 1",IF(AND(G$114&gt;=$L$108,IF(N($L$109)&gt;0,MOD(G$114-$L$108,$L$109)=0,G$114=$L$108)),$L$107,0),$L$107/($L$110*365)*MAX(0,MIN(G$119+1,$L$111+$L$110*365)-MAX(G$118,$L$111))))</f>
        <v>7.6800000000000006</v>
      </c>
      <c r="H230" s="34">
        <f t="shared" si="99"/>
        <v>7.7010410958904112</v>
      </c>
      <c r="I230" s="34">
        <f t="shared" si="99"/>
        <v>7.6800000000000006</v>
      </c>
      <c r="J230" s="34">
        <f t="shared" si="99"/>
        <v>7.6800000000000006</v>
      </c>
      <c r="K230" s="34">
        <f t="shared" si="99"/>
        <v>7.6589589041095891</v>
      </c>
      <c r="L230" s="34">
        <f t="shared" si="99"/>
        <v>0</v>
      </c>
      <c r="M230" s="34">
        <f t="shared" si="99"/>
        <v>0</v>
      </c>
      <c r="N230" s="34">
        <f t="shared" si="99"/>
        <v>0</v>
      </c>
      <c r="O230" s="34">
        <f t="shared" si="99"/>
        <v>0</v>
      </c>
      <c r="P230" s="34">
        <f t="shared" si="99"/>
        <v>0</v>
      </c>
      <c r="Q230" s="34">
        <f t="shared" si="99"/>
        <v>0</v>
      </c>
      <c r="R230" s="34">
        <f t="shared" si="99"/>
        <v>0</v>
      </c>
      <c r="S230" s="34">
        <f t="shared" si="99"/>
        <v>0</v>
      </c>
      <c r="T230" s="34">
        <f t="shared" si="99"/>
        <v>0</v>
      </c>
      <c r="U230" s="34">
        <f t="shared" si="99"/>
        <v>0</v>
      </c>
      <c r="V230" s="34">
        <f t="shared" si="93"/>
        <v>38.400000000000006</v>
      </c>
      <c r="W230" s="34">
        <f t="shared" si="94"/>
        <v>38.400000000000006</v>
      </c>
      <c r="X230" s="34">
        <f>IF(AND($F$44&gt;0,$L$101&lt;&gt;"",$L$101&lt;&gt;"Tier 1",N($L$108)&lt;=$F$44),$L$107-W230,0)</f>
        <v>-7.1054273576010019E-15</v>
      </c>
    </row>
    <row r="231" spans="2:25">
      <c r="B231" s="27" t="str">
        <f>"Item 7: "&amp;IF($M$100="","not used",$M$100)</f>
        <v>Item 7: Dewatering press</v>
      </c>
      <c r="C231" s="33" t="str">
        <f>IF($M$101="","",$M$101)</f>
        <v>Tier 3</v>
      </c>
      <c r="D231" s="33" t="s">
        <v>359</v>
      </c>
      <c r="E231" s="33" t="s">
        <v>174</v>
      </c>
      <c r="F231" s="33"/>
      <c r="G231" s="34">
        <f t="shared" ref="G231:U231" si="100">IF(OR(G$117=0,$M$101="",N($M$107)=0),0,IF($M$101="Tier 1",IF(AND(G$114&gt;=$M$108,IF(N($M$109)&gt;0,MOD(G$114-$M$108,$M$109)=0,G$114=$M$108)),$M$107,0),$M$107/($M$110*365)*MAX(0,MIN(G$119+1,$M$111+$M$110*365)-MAX(G$118,$M$111))))</f>
        <v>3.66</v>
      </c>
      <c r="H231" s="34">
        <f t="shared" si="100"/>
        <v>3.6700273972602742</v>
      </c>
      <c r="I231" s="34">
        <f t="shared" si="100"/>
        <v>3.66</v>
      </c>
      <c r="J231" s="34">
        <f t="shared" si="100"/>
        <v>3.66</v>
      </c>
      <c r="K231" s="34">
        <f t="shared" si="100"/>
        <v>3.6499726027397261</v>
      </c>
      <c r="L231" s="34">
        <f t="shared" si="100"/>
        <v>0</v>
      </c>
      <c r="M231" s="34">
        <f t="shared" si="100"/>
        <v>0</v>
      </c>
      <c r="N231" s="34">
        <f t="shared" si="100"/>
        <v>0</v>
      </c>
      <c r="O231" s="34">
        <f t="shared" si="100"/>
        <v>0</v>
      </c>
      <c r="P231" s="34">
        <f t="shared" si="100"/>
        <v>0</v>
      </c>
      <c r="Q231" s="34">
        <f t="shared" si="100"/>
        <v>0</v>
      </c>
      <c r="R231" s="34">
        <f t="shared" si="100"/>
        <v>0</v>
      </c>
      <c r="S231" s="34">
        <f t="shared" si="100"/>
        <v>0</v>
      </c>
      <c r="T231" s="34">
        <f t="shared" si="100"/>
        <v>0</v>
      </c>
      <c r="U231" s="34">
        <f t="shared" si="100"/>
        <v>0</v>
      </c>
      <c r="V231" s="34">
        <f t="shared" si="93"/>
        <v>18.3</v>
      </c>
      <c r="W231" s="34">
        <f t="shared" si="94"/>
        <v>18.3</v>
      </c>
      <c r="X231" s="34">
        <f>IF(AND($F$44&gt;0,$M$101&lt;&gt;"",$M$101&lt;&gt;"Tier 1",N($M$108)&lt;=$F$44),$M$107-W231,0)</f>
        <v>0</v>
      </c>
    </row>
    <row r="232" spans="2:25">
      <c r="B232" s="27" t="str">
        <f>"Item 8: "&amp;IF($N$100="","not used",$N$100)</f>
        <v>Item 8: Replacement vacuum truck</v>
      </c>
      <c r="C232" s="33" t="str">
        <f>IF($N$101="","",$N$101)</f>
        <v>Tier 3</v>
      </c>
      <c r="D232" s="33" t="s">
        <v>359</v>
      </c>
      <c r="E232" s="33" t="s">
        <v>174</v>
      </c>
      <c r="F232" s="33"/>
      <c r="G232" s="34">
        <f t="shared" ref="G232:U232" si="101">IF(OR(G$117=0,$N$101="",N($N$107)=0),0,IF($N$101="Tier 1",IF(AND(G$114&gt;=$N$108,IF(N($N$109)&gt;0,MOD(G$114-$N$108,$N$109)=0,G$114=$N$108)),$N$107,0),$N$107/($N$110*365)*MAX(0,MIN(G$119+1,$N$111+$N$110*365)-MAX(G$118,$N$111))))</f>
        <v>0</v>
      </c>
      <c r="H232" s="34">
        <f t="shared" si="101"/>
        <v>0</v>
      </c>
      <c r="I232" s="34">
        <f t="shared" si="101"/>
        <v>0</v>
      </c>
      <c r="J232" s="34">
        <f t="shared" si="101"/>
        <v>0</v>
      </c>
      <c r="K232" s="34">
        <f t="shared" si="101"/>
        <v>0</v>
      </c>
      <c r="L232" s="34">
        <f t="shared" si="101"/>
        <v>2.5670136986301371</v>
      </c>
      <c r="M232" s="34">
        <f t="shared" si="101"/>
        <v>2.56</v>
      </c>
      <c r="N232" s="34">
        <f t="shared" si="101"/>
        <v>2.56</v>
      </c>
      <c r="O232" s="34">
        <f t="shared" si="101"/>
        <v>0</v>
      </c>
      <c r="P232" s="34">
        <f t="shared" si="101"/>
        <v>0</v>
      </c>
      <c r="Q232" s="34">
        <f t="shared" si="101"/>
        <v>0</v>
      </c>
      <c r="R232" s="34">
        <f t="shared" si="101"/>
        <v>0</v>
      </c>
      <c r="S232" s="34">
        <f t="shared" si="101"/>
        <v>0</v>
      </c>
      <c r="T232" s="34">
        <f t="shared" si="101"/>
        <v>0</v>
      </c>
      <c r="U232" s="34">
        <f t="shared" si="101"/>
        <v>0</v>
      </c>
      <c r="V232" s="34">
        <f t="shared" si="93"/>
        <v>7.6870136986301372</v>
      </c>
      <c r="W232" s="34">
        <f t="shared" si="94"/>
        <v>7.6870136986301372</v>
      </c>
      <c r="X232" s="34">
        <f>IF(AND($F$44&gt;0,$N$101&lt;&gt;"",$N$101&lt;&gt;"Tier 1",N($N$108)&lt;=$F$44),$N$107-W232,0)</f>
        <v>5.1129863013698635</v>
      </c>
    </row>
    <row r="233" spans="2:25" ht="21">
      <c r="B233" s="27" t="s">
        <v>706</v>
      </c>
      <c r="C233" s="33" t="s">
        <v>707</v>
      </c>
      <c r="D233" s="33" t="s">
        <v>359</v>
      </c>
      <c r="E233" s="33" t="s">
        <v>708</v>
      </c>
      <c r="F233" s="33"/>
      <c r="G233" s="34">
        <f t="shared" ref="G233:U233" si="102">SUM(G225:G232)</f>
        <v>231.14</v>
      </c>
      <c r="H233" s="34">
        <f t="shared" si="102"/>
        <v>251.47189041095891</v>
      </c>
      <c r="I233" s="34">
        <f t="shared" si="102"/>
        <v>121.14</v>
      </c>
      <c r="J233" s="34">
        <f t="shared" si="102"/>
        <v>231.14</v>
      </c>
      <c r="K233" s="34">
        <f t="shared" si="102"/>
        <v>250.80810958904109</v>
      </c>
      <c r="L233" s="34">
        <f t="shared" si="102"/>
        <v>2.5670136986301371</v>
      </c>
      <c r="M233" s="34">
        <f t="shared" si="102"/>
        <v>112.56</v>
      </c>
      <c r="N233" s="34">
        <f t="shared" si="102"/>
        <v>132.56</v>
      </c>
      <c r="O233" s="34">
        <f t="shared" si="102"/>
        <v>0</v>
      </c>
      <c r="P233" s="34">
        <f t="shared" si="102"/>
        <v>0</v>
      </c>
      <c r="Q233" s="34">
        <f t="shared" si="102"/>
        <v>0</v>
      </c>
      <c r="R233" s="34">
        <f t="shared" si="102"/>
        <v>0</v>
      </c>
      <c r="S233" s="34">
        <f t="shared" si="102"/>
        <v>0</v>
      </c>
      <c r="T233" s="34">
        <f t="shared" si="102"/>
        <v>0</v>
      </c>
      <c r="U233" s="34">
        <f t="shared" si="102"/>
        <v>0</v>
      </c>
      <c r="V233" s="34">
        <f t="shared" si="93"/>
        <v>1333.38701369863</v>
      </c>
      <c r="Y233" s="50" t="s">
        <v>709</v>
      </c>
    </row>
    <row r="234" spans="2:25">
      <c r="B234" s="27" t="s">
        <v>179</v>
      </c>
      <c r="C234" s="33"/>
      <c r="D234" s="33" t="s">
        <v>359</v>
      </c>
      <c r="E234" s="33" t="s">
        <v>178</v>
      </c>
      <c r="F234" s="33"/>
      <c r="G234" s="34">
        <f t="shared" ref="G234:U234" si="103">IF(AND($F$44&gt;0,G$114=$F$44,G$117=1),SUM($X$225:$X$232),0)</f>
        <v>0</v>
      </c>
      <c r="H234" s="34">
        <f t="shared" si="103"/>
        <v>0</v>
      </c>
      <c r="I234" s="34">
        <f t="shared" si="103"/>
        <v>0</v>
      </c>
      <c r="J234" s="34">
        <f t="shared" si="103"/>
        <v>0</v>
      </c>
      <c r="K234" s="34">
        <f t="shared" si="103"/>
        <v>0</v>
      </c>
      <c r="L234" s="34">
        <f t="shared" si="103"/>
        <v>0</v>
      </c>
      <c r="M234" s="34">
        <f t="shared" si="103"/>
        <v>0</v>
      </c>
      <c r="N234" s="34">
        <f t="shared" si="103"/>
        <v>5.1129863013699168</v>
      </c>
      <c r="O234" s="34">
        <f t="shared" si="103"/>
        <v>0</v>
      </c>
      <c r="P234" s="34">
        <f t="shared" si="103"/>
        <v>0</v>
      </c>
      <c r="Q234" s="34">
        <f t="shared" si="103"/>
        <v>0</v>
      </c>
      <c r="R234" s="34">
        <f t="shared" si="103"/>
        <v>0</v>
      </c>
      <c r="S234" s="34">
        <f t="shared" si="103"/>
        <v>0</v>
      </c>
      <c r="T234" s="34">
        <f t="shared" si="103"/>
        <v>0</v>
      </c>
      <c r="U234" s="34">
        <f t="shared" si="103"/>
        <v>0</v>
      </c>
      <c r="V234" s="34">
        <f t="shared" si="93"/>
        <v>5.1129863013699168</v>
      </c>
    </row>
    <row r="235" spans="2:25" ht="21">
      <c r="B235" s="27" t="s">
        <v>710</v>
      </c>
      <c r="C235" s="33" t="s">
        <v>711</v>
      </c>
      <c r="D235" s="33" t="s">
        <v>359</v>
      </c>
      <c r="E235" s="33" t="s">
        <v>712</v>
      </c>
      <c r="F235" s="33"/>
      <c r="G235" s="69">
        <v>0</v>
      </c>
      <c r="H235" s="69">
        <v>0</v>
      </c>
      <c r="I235" s="69">
        <v>0</v>
      </c>
      <c r="J235" s="69">
        <v>0</v>
      </c>
      <c r="K235" s="69">
        <v>0</v>
      </c>
      <c r="L235" s="69">
        <v>0</v>
      </c>
      <c r="M235" s="69">
        <v>0</v>
      </c>
      <c r="N235" s="69">
        <v>0</v>
      </c>
      <c r="O235" s="69">
        <v>0</v>
      </c>
      <c r="P235" s="69">
        <v>0</v>
      </c>
      <c r="Q235" s="69">
        <v>0</v>
      </c>
      <c r="R235" s="69">
        <v>0</v>
      </c>
      <c r="S235" s="69">
        <v>0</v>
      </c>
      <c r="T235" s="69">
        <v>0</v>
      </c>
      <c r="U235" s="69">
        <v>0</v>
      </c>
      <c r="V235" s="34">
        <f t="shared" si="93"/>
        <v>0</v>
      </c>
      <c r="Y235" s="50" t="s">
        <v>713</v>
      </c>
    </row>
    <row r="236" spans="2:25" ht="22.5">
      <c r="B236" s="27" t="s">
        <v>714</v>
      </c>
      <c r="C236" s="33"/>
      <c r="D236" s="33" t="s">
        <v>359</v>
      </c>
      <c r="E236" s="33" t="s">
        <v>466</v>
      </c>
      <c r="F236" s="33"/>
      <c r="G236" s="69">
        <v>0</v>
      </c>
      <c r="H236" s="69">
        <v>0</v>
      </c>
      <c r="I236" s="69">
        <v>0</v>
      </c>
      <c r="J236" s="69">
        <v>0</v>
      </c>
      <c r="K236" s="69">
        <v>0</v>
      </c>
      <c r="L236" s="69">
        <v>0</v>
      </c>
      <c r="M236" s="69">
        <v>0</v>
      </c>
      <c r="N236" s="69">
        <v>0</v>
      </c>
      <c r="O236" s="69">
        <v>0</v>
      </c>
      <c r="P236" s="69">
        <v>0</v>
      </c>
      <c r="Q236" s="69">
        <v>0</v>
      </c>
      <c r="R236" s="69">
        <v>0</v>
      </c>
      <c r="S236" s="69">
        <v>0</v>
      </c>
      <c r="T236" s="69">
        <v>0</v>
      </c>
      <c r="U236" s="69">
        <v>0</v>
      </c>
      <c r="V236" s="34">
        <f t="shared" si="93"/>
        <v>0</v>
      </c>
    </row>
    <row r="237" spans="2:25" ht="21">
      <c r="B237" s="27" t="s">
        <v>640</v>
      </c>
      <c r="C237" s="33"/>
      <c r="D237" s="33" t="s">
        <v>359</v>
      </c>
      <c r="E237" s="33" t="s">
        <v>639</v>
      </c>
      <c r="F237" s="33"/>
      <c r="G237" s="34">
        <f t="shared" ref="G237:U237" si="104">G135+G149+G163+G177+G191</f>
        <v>0</v>
      </c>
      <c r="H237" s="34">
        <f t="shared" si="104"/>
        <v>0</v>
      </c>
      <c r="I237" s="34">
        <f t="shared" si="104"/>
        <v>0</v>
      </c>
      <c r="J237" s="34">
        <f t="shared" si="104"/>
        <v>0</v>
      </c>
      <c r="K237" s="34">
        <f t="shared" si="104"/>
        <v>0</v>
      </c>
      <c r="L237" s="34">
        <f t="shared" si="104"/>
        <v>0</v>
      </c>
      <c r="M237" s="34">
        <f t="shared" si="104"/>
        <v>0</v>
      </c>
      <c r="N237" s="34">
        <f t="shared" si="104"/>
        <v>0</v>
      </c>
      <c r="O237" s="34">
        <f t="shared" si="104"/>
        <v>0</v>
      </c>
      <c r="P237" s="34">
        <f t="shared" si="104"/>
        <v>0</v>
      </c>
      <c r="Q237" s="34">
        <f t="shared" si="104"/>
        <v>0</v>
      </c>
      <c r="R237" s="34">
        <f t="shared" si="104"/>
        <v>0</v>
      </c>
      <c r="S237" s="34">
        <f t="shared" si="104"/>
        <v>0</v>
      </c>
      <c r="T237" s="34">
        <f t="shared" si="104"/>
        <v>0</v>
      </c>
      <c r="U237" s="34">
        <f t="shared" si="104"/>
        <v>0</v>
      </c>
      <c r="V237" s="34">
        <f t="shared" si="93"/>
        <v>0</v>
      </c>
    </row>
    <row r="238" spans="2:25" ht="21">
      <c r="B238" s="27" t="s">
        <v>638</v>
      </c>
      <c r="C238" s="33"/>
      <c r="D238" s="33" t="s">
        <v>359</v>
      </c>
      <c r="E238" s="33" t="s">
        <v>639</v>
      </c>
      <c r="F238" s="33"/>
      <c r="G238" s="34">
        <f t="shared" ref="G238:U238" si="105">G134+G148+G162+G176+G190</f>
        <v>0</v>
      </c>
      <c r="H238" s="34">
        <f t="shared" si="105"/>
        <v>0</v>
      </c>
      <c r="I238" s="34">
        <f t="shared" si="105"/>
        <v>0</v>
      </c>
      <c r="J238" s="34">
        <f t="shared" si="105"/>
        <v>0</v>
      </c>
      <c r="K238" s="34">
        <f t="shared" si="105"/>
        <v>0</v>
      </c>
      <c r="L238" s="34">
        <f t="shared" si="105"/>
        <v>0</v>
      </c>
      <c r="M238" s="34">
        <f t="shared" si="105"/>
        <v>0</v>
      </c>
      <c r="N238" s="34">
        <f t="shared" si="105"/>
        <v>0</v>
      </c>
      <c r="O238" s="34">
        <f t="shared" si="105"/>
        <v>0</v>
      </c>
      <c r="P238" s="34">
        <f t="shared" si="105"/>
        <v>0</v>
      </c>
      <c r="Q238" s="34">
        <f t="shared" si="105"/>
        <v>0</v>
      </c>
      <c r="R238" s="34">
        <f t="shared" si="105"/>
        <v>0</v>
      </c>
      <c r="S238" s="34">
        <f t="shared" si="105"/>
        <v>0</v>
      </c>
      <c r="T238" s="34">
        <f t="shared" si="105"/>
        <v>0</v>
      </c>
      <c r="U238" s="34">
        <f t="shared" si="105"/>
        <v>0</v>
      </c>
      <c r="V238" s="34">
        <f t="shared" si="93"/>
        <v>0</v>
      </c>
    </row>
    <row r="239" spans="2:25">
      <c r="B239" s="27" t="s">
        <v>715</v>
      </c>
      <c r="C239" s="33" t="s">
        <v>716</v>
      </c>
      <c r="D239" s="33" t="s">
        <v>359</v>
      </c>
      <c r="E239" s="33" t="s">
        <v>466</v>
      </c>
      <c r="F239" s="33"/>
      <c r="G239" s="34">
        <f t="shared" ref="G239:U239" si="106">G$117*N(G236)+G237+G238</f>
        <v>0</v>
      </c>
      <c r="H239" s="34">
        <f t="shared" si="106"/>
        <v>0</v>
      </c>
      <c r="I239" s="34">
        <f t="shared" si="106"/>
        <v>0</v>
      </c>
      <c r="J239" s="34">
        <f t="shared" si="106"/>
        <v>0</v>
      </c>
      <c r="K239" s="34">
        <f t="shared" si="106"/>
        <v>0</v>
      </c>
      <c r="L239" s="34">
        <f t="shared" si="106"/>
        <v>0</v>
      </c>
      <c r="M239" s="34">
        <f t="shared" si="106"/>
        <v>0</v>
      </c>
      <c r="N239" s="34">
        <f t="shared" si="106"/>
        <v>0</v>
      </c>
      <c r="O239" s="34">
        <f t="shared" si="106"/>
        <v>0</v>
      </c>
      <c r="P239" s="34">
        <f t="shared" si="106"/>
        <v>0</v>
      </c>
      <c r="Q239" s="34">
        <f t="shared" si="106"/>
        <v>0</v>
      </c>
      <c r="R239" s="34">
        <f t="shared" si="106"/>
        <v>0</v>
      </c>
      <c r="S239" s="34">
        <f t="shared" si="106"/>
        <v>0</v>
      </c>
      <c r="T239" s="34">
        <f t="shared" si="106"/>
        <v>0</v>
      </c>
      <c r="U239" s="34">
        <f t="shared" si="106"/>
        <v>0</v>
      </c>
      <c r="V239" s="34">
        <f t="shared" si="93"/>
        <v>0</v>
      </c>
    </row>
    <row r="240" spans="2:25">
      <c r="B240" s="30" t="s">
        <v>717</v>
      </c>
      <c r="C240" s="33" t="s">
        <v>718</v>
      </c>
      <c r="D240" s="33" t="s">
        <v>359</v>
      </c>
      <c r="E240" s="33" t="s">
        <v>170</v>
      </c>
      <c r="F240" s="33"/>
      <c r="G240" s="31">
        <f t="shared" ref="G240:U240" si="107">G233+G234+G$117*N(G235)+G239</f>
        <v>231.14</v>
      </c>
      <c r="H240" s="31">
        <f t="shared" si="107"/>
        <v>251.47189041095891</v>
      </c>
      <c r="I240" s="31">
        <f t="shared" si="107"/>
        <v>121.14</v>
      </c>
      <c r="J240" s="31">
        <f t="shared" si="107"/>
        <v>231.14</v>
      </c>
      <c r="K240" s="31">
        <f t="shared" si="107"/>
        <v>250.80810958904109</v>
      </c>
      <c r="L240" s="31">
        <f t="shared" si="107"/>
        <v>2.5670136986301371</v>
      </c>
      <c r="M240" s="31">
        <f t="shared" si="107"/>
        <v>112.56</v>
      </c>
      <c r="N240" s="31">
        <f t="shared" si="107"/>
        <v>137.67298630136992</v>
      </c>
      <c r="O240" s="31">
        <f t="shared" si="107"/>
        <v>0</v>
      </c>
      <c r="P240" s="31">
        <f t="shared" si="107"/>
        <v>0</v>
      </c>
      <c r="Q240" s="31">
        <f t="shared" si="107"/>
        <v>0</v>
      </c>
      <c r="R240" s="31">
        <f t="shared" si="107"/>
        <v>0</v>
      </c>
      <c r="S240" s="31">
        <f t="shared" si="107"/>
        <v>0</v>
      </c>
      <c r="T240" s="31">
        <f t="shared" si="107"/>
        <v>0</v>
      </c>
      <c r="U240" s="31">
        <f t="shared" si="107"/>
        <v>0</v>
      </c>
      <c r="V240" s="31">
        <f t="shared" si="93"/>
        <v>1338.5</v>
      </c>
    </row>
    <row r="242" spans="2:25">
      <c r="B242" s="25" t="s">
        <v>719</v>
      </c>
      <c r="C242" s="25" t="s">
        <v>369</v>
      </c>
      <c r="D242" s="25" t="s">
        <v>370</v>
      </c>
      <c r="E242" s="25" t="s">
        <v>371</v>
      </c>
      <c r="F242" s="25"/>
      <c r="G242" s="26">
        <f t="shared" ref="G242:U242" si="108">G$114</f>
        <v>1</v>
      </c>
      <c r="H242" s="26">
        <f t="shared" si="108"/>
        <v>2</v>
      </c>
      <c r="I242" s="26">
        <f t="shared" si="108"/>
        <v>3</v>
      </c>
      <c r="J242" s="26">
        <f t="shared" si="108"/>
        <v>4</v>
      </c>
      <c r="K242" s="26">
        <f t="shared" si="108"/>
        <v>5</v>
      </c>
      <c r="L242" s="26">
        <f t="shared" si="108"/>
        <v>6</v>
      </c>
      <c r="M242" s="26">
        <f t="shared" si="108"/>
        <v>7</v>
      </c>
      <c r="N242" s="26">
        <f t="shared" si="108"/>
        <v>8</v>
      </c>
      <c r="O242" s="26">
        <f t="shared" si="108"/>
        <v>9</v>
      </c>
      <c r="P242" s="26">
        <f t="shared" si="108"/>
        <v>10</v>
      </c>
      <c r="Q242" s="26">
        <f t="shared" si="108"/>
        <v>11</v>
      </c>
      <c r="R242" s="26">
        <f t="shared" si="108"/>
        <v>12</v>
      </c>
      <c r="S242" s="26">
        <f t="shared" si="108"/>
        <v>13</v>
      </c>
      <c r="T242" s="26">
        <f t="shared" si="108"/>
        <v>14</v>
      </c>
      <c r="U242" s="26">
        <f t="shared" si="108"/>
        <v>15</v>
      </c>
      <c r="V242" s="26" t="s">
        <v>602</v>
      </c>
      <c r="Y242" s="25" t="s">
        <v>324</v>
      </c>
    </row>
    <row r="243" spans="2:25">
      <c r="B243" s="27" t="s">
        <v>719</v>
      </c>
      <c r="C243" s="33" t="s">
        <v>720</v>
      </c>
      <c r="D243" s="33" t="s">
        <v>359</v>
      </c>
      <c r="E243" s="33" t="s">
        <v>181</v>
      </c>
      <c r="F243" s="33"/>
      <c r="G243" s="34">
        <f t="shared" ref="G243:U243" si="109">G202-G222-G240</f>
        <v>303.53732176016445</v>
      </c>
      <c r="H243" s="34">
        <f t="shared" si="109"/>
        <v>721.63663677917384</v>
      </c>
      <c r="I243" s="34">
        <f t="shared" si="109"/>
        <v>1124.0012497143141</v>
      </c>
      <c r="J243" s="34">
        <f t="shared" si="109"/>
        <v>1011.2191097072947</v>
      </c>
      <c r="K243" s="34">
        <f t="shared" si="109"/>
        <v>990.41923884336552</v>
      </c>
      <c r="L243" s="34">
        <f t="shared" si="109"/>
        <v>1181.7612963971494</v>
      </c>
      <c r="M243" s="34">
        <f t="shared" si="109"/>
        <v>1007.8787966282241</v>
      </c>
      <c r="N243" s="34">
        <f t="shared" si="109"/>
        <v>982.76581032685408</v>
      </c>
      <c r="O243" s="34">
        <f t="shared" si="109"/>
        <v>0</v>
      </c>
      <c r="P243" s="34">
        <f t="shared" si="109"/>
        <v>0</v>
      </c>
      <c r="Q243" s="34">
        <f t="shared" si="109"/>
        <v>0</v>
      </c>
      <c r="R243" s="34">
        <f t="shared" si="109"/>
        <v>0</v>
      </c>
      <c r="S243" s="34">
        <f t="shared" si="109"/>
        <v>0</v>
      </c>
      <c r="T243" s="34">
        <f t="shared" si="109"/>
        <v>0</v>
      </c>
      <c r="U243" s="34">
        <f t="shared" si="109"/>
        <v>0</v>
      </c>
      <c r="V243" s="34">
        <f>SUMPRODUCT($G$117:$U$117,G243:U243)</f>
        <v>7323.2194601565407</v>
      </c>
    </row>
    <row r="244" spans="2:25">
      <c r="B244" s="30" t="s">
        <v>721</v>
      </c>
      <c r="C244" s="33"/>
      <c r="D244" s="33" t="s">
        <v>359</v>
      </c>
      <c r="E244" s="33" t="s">
        <v>722</v>
      </c>
      <c r="F244" s="33"/>
      <c r="G244" s="31">
        <f t="shared" ref="G244:U244" si="110">IF(G$117=1,MAX(0,G243),0)</f>
        <v>303.53732176016445</v>
      </c>
      <c r="H244" s="31">
        <f t="shared" si="110"/>
        <v>721.63663677917384</v>
      </c>
      <c r="I244" s="31">
        <f t="shared" si="110"/>
        <v>1124.0012497143141</v>
      </c>
      <c r="J244" s="31">
        <f t="shared" si="110"/>
        <v>1011.2191097072947</v>
      </c>
      <c r="K244" s="31">
        <f t="shared" si="110"/>
        <v>990.41923884336552</v>
      </c>
      <c r="L244" s="31">
        <f t="shared" si="110"/>
        <v>1181.7612963971494</v>
      </c>
      <c r="M244" s="31">
        <f t="shared" si="110"/>
        <v>1007.8787966282241</v>
      </c>
      <c r="N244" s="31">
        <f t="shared" si="110"/>
        <v>982.76581032685408</v>
      </c>
      <c r="O244" s="31">
        <f t="shared" si="110"/>
        <v>0</v>
      </c>
      <c r="P244" s="31">
        <f t="shared" si="110"/>
        <v>0</v>
      </c>
      <c r="Q244" s="31">
        <f t="shared" si="110"/>
        <v>0</v>
      </c>
      <c r="R244" s="31">
        <f t="shared" si="110"/>
        <v>0</v>
      </c>
      <c r="S244" s="31">
        <f t="shared" si="110"/>
        <v>0</v>
      </c>
      <c r="T244" s="31">
        <f t="shared" si="110"/>
        <v>0</v>
      </c>
      <c r="U244" s="31">
        <f t="shared" si="110"/>
        <v>0</v>
      </c>
      <c r="V244" s="31">
        <f>SUMPRODUCT($G$117:$U$117,G244:U244)</f>
        <v>7323.2194601565407</v>
      </c>
    </row>
    <row r="245" spans="2:25" ht="36" customHeight="1">
      <c r="B245" s="27" t="s">
        <v>723</v>
      </c>
      <c r="C245" s="33"/>
      <c r="D245" s="33"/>
      <c r="E245" s="33"/>
      <c r="F245" s="33"/>
      <c r="G245" s="62" t="str">
        <f t="shared" ref="G245:U245" si="111">IF(AND(G$117=1,G243&lt;0),"Negative: not claimed, not carried forward","")</f>
        <v/>
      </c>
      <c r="H245" s="62" t="str">
        <f t="shared" si="111"/>
        <v/>
      </c>
      <c r="I245" s="62" t="str">
        <f t="shared" si="111"/>
        <v/>
      </c>
      <c r="J245" s="62" t="str">
        <f t="shared" si="111"/>
        <v/>
      </c>
      <c r="K245" s="62" t="str">
        <f t="shared" si="111"/>
        <v/>
      </c>
      <c r="L245" s="62" t="str">
        <f t="shared" si="111"/>
        <v/>
      </c>
      <c r="M245" s="62" t="str">
        <f t="shared" si="111"/>
        <v/>
      </c>
      <c r="N245" s="62" t="str">
        <f t="shared" si="111"/>
        <v/>
      </c>
      <c r="O245" s="62" t="str">
        <f t="shared" si="111"/>
        <v/>
      </c>
      <c r="P245" s="62" t="str">
        <f t="shared" si="111"/>
        <v/>
      </c>
      <c r="Q245" s="62" t="str">
        <f t="shared" si="111"/>
        <v/>
      </c>
      <c r="R245" s="62" t="str">
        <f t="shared" si="111"/>
        <v/>
      </c>
      <c r="S245" s="62" t="str">
        <f t="shared" si="111"/>
        <v/>
      </c>
      <c r="T245" s="62" t="str">
        <f t="shared" si="111"/>
        <v/>
      </c>
      <c r="U245" s="62" t="str">
        <f t="shared" si="111"/>
        <v/>
      </c>
      <c r="V245" s="33"/>
    </row>
    <row r="246" spans="2:25">
      <c r="B246" s="27" t="s">
        <v>724</v>
      </c>
      <c r="C246" s="33"/>
      <c r="D246" s="33" t="s">
        <v>359</v>
      </c>
      <c r="E246" s="33"/>
      <c r="F246" s="33"/>
      <c r="G246" s="34">
        <f>SUM($G244:G244)</f>
        <v>303.53732176016445</v>
      </c>
      <c r="H246" s="34">
        <f>SUM($G244:H244)</f>
        <v>1025.1739585393384</v>
      </c>
      <c r="I246" s="34">
        <f>SUM($G244:I244)</f>
        <v>2149.1752082536523</v>
      </c>
      <c r="J246" s="34">
        <f>SUM($G244:J244)</f>
        <v>3160.3943179609469</v>
      </c>
      <c r="K246" s="34">
        <f>SUM($G244:K244)</f>
        <v>4150.8135568043126</v>
      </c>
      <c r="L246" s="34">
        <f>SUM($G244:L244)</f>
        <v>5332.5748532014622</v>
      </c>
      <c r="M246" s="34">
        <f>SUM($G244:M244)</f>
        <v>6340.4536498296866</v>
      </c>
      <c r="N246" s="34">
        <f>SUM($G244:N244)</f>
        <v>7323.2194601565407</v>
      </c>
      <c r="O246" s="34">
        <f>SUM($G244:O244)</f>
        <v>7323.2194601565407</v>
      </c>
      <c r="P246" s="34">
        <f>SUM($G244:P244)</f>
        <v>7323.2194601565407</v>
      </c>
      <c r="Q246" s="34">
        <f>SUM($G244:Q244)</f>
        <v>7323.2194601565407</v>
      </c>
      <c r="R246" s="34">
        <f>SUM($G244:R244)</f>
        <v>7323.2194601565407</v>
      </c>
      <c r="S246" s="34">
        <f>SUM($G244:S244)</f>
        <v>7323.2194601565407</v>
      </c>
      <c r="T246" s="34">
        <f>SUM($G244:T244)</f>
        <v>7323.2194601565407</v>
      </c>
      <c r="U246" s="34">
        <f>SUM($G244:U244)</f>
        <v>7323.2194601565407</v>
      </c>
      <c r="V246" s="33"/>
    </row>
    <row r="248" spans="2:25" ht="20.100000000000001" customHeight="1">
      <c r="B248" s="20" t="s">
        <v>725</v>
      </c>
      <c r="C248" s="20"/>
      <c r="D248" s="20"/>
      <c r="E248" s="20"/>
      <c r="F248" s="20"/>
    </row>
    <row r="249" spans="2:25">
      <c r="B249" s="27" t="s">
        <v>726</v>
      </c>
      <c r="C249" s="33"/>
      <c r="D249" s="33" t="s">
        <v>359</v>
      </c>
      <c r="E249" s="33"/>
      <c r="F249" s="31">
        <f>SUMPRODUCT(($G$116:$U$116=1)*($G$244:$U$244))</f>
        <v>4150.8135568043126</v>
      </c>
    </row>
    <row r="250" spans="2:25">
      <c r="B250" s="27" t="s">
        <v>727</v>
      </c>
      <c r="C250" s="33"/>
      <c r="D250" s="33" t="s">
        <v>359</v>
      </c>
      <c r="E250" s="33"/>
      <c r="F250" s="31">
        <f>SUMPRODUCT(($G$116:$U$116=2)*($G$244:$U$244))</f>
        <v>3172.4059033522276</v>
      </c>
    </row>
    <row r="251" spans="2:25">
      <c r="B251" s="27" t="s">
        <v>728</v>
      </c>
      <c r="C251" s="33"/>
      <c r="D251" s="33" t="s">
        <v>359</v>
      </c>
      <c r="E251" s="33"/>
      <c r="F251" s="31">
        <f>SUMPRODUCT(($G$116:$U$116=3)*($G$244:$U$244))</f>
        <v>0</v>
      </c>
    </row>
  </sheetData>
  <sheetProtection password="86E8" sheet="1" objects="1" scenarios="1" formatColumns="0" formatRows="0"/>
  <mergeCells count="49">
    <mergeCell ref="H59:V59"/>
    <mergeCell ref="G55:V55"/>
    <mergeCell ref="G35:V35"/>
    <mergeCell ref="G51:V51"/>
    <mergeCell ref="G30:V30"/>
    <mergeCell ref="G29:V29"/>
    <mergeCell ref="G47:V47"/>
    <mergeCell ref="G54:V54"/>
    <mergeCell ref="G32:V32"/>
    <mergeCell ref="G46:V46"/>
    <mergeCell ref="G33:V33"/>
    <mergeCell ref="B2:V2"/>
    <mergeCell ref="G45:V45"/>
    <mergeCell ref="G20:V20"/>
    <mergeCell ref="H3:V3"/>
    <mergeCell ref="G27:V27"/>
    <mergeCell ref="G26:V26"/>
    <mergeCell ref="G67:V67"/>
    <mergeCell ref="G36:V36"/>
    <mergeCell ref="G42:V42"/>
    <mergeCell ref="G23:V23"/>
    <mergeCell ref="G18:V18"/>
    <mergeCell ref="G22:V22"/>
    <mergeCell ref="G40:V40"/>
    <mergeCell ref="G31:V31"/>
    <mergeCell ref="G56:V56"/>
    <mergeCell ref="G43:V43"/>
    <mergeCell ref="G52:V52"/>
    <mergeCell ref="G25:V25"/>
    <mergeCell ref="G41:V41"/>
    <mergeCell ref="G50:V50"/>
    <mergeCell ref="G65:V65"/>
    <mergeCell ref="G64:V64"/>
    <mergeCell ref="G70:V70"/>
    <mergeCell ref="G48:V48"/>
    <mergeCell ref="G39:V39"/>
    <mergeCell ref="G38:V38"/>
    <mergeCell ref="G19:V19"/>
    <mergeCell ref="G37:V37"/>
    <mergeCell ref="G53:V53"/>
    <mergeCell ref="G28:V28"/>
    <mergeCell ref="G66:V66"/>
    <mergeCell ref="G68:V68"/>
    <mergeCell ref="G69:V69"/>
    <mergeCell ref="G49:V49"/>
    <mergeCell ref="G34:V34"/>
    <mergeCell ref="G24:V24"/>
    <mergeCell ref="G21:V21"/>
    <mergeCell ref="G44:V44"/>
  </mergeCells>
  <conditionalFormatting sqref="B124:V136">
    <cfRule type="expression" dxfId="10" priority="1">
      <formula>$G$75=""</formula>
    </cfRule>
  </conditionalFormatting>
  <conditionalFormatting sqref="B138:V150">
    <cfRule type="expression" dxfId="9" priority="2">
      <formula>$H$75=""</formula>
    </cfRule>
  </conditionalFormatting>
  <conditionalFormatting sqref="B152:V164">
    <cfRule type="expression" dxfId="8" priority="3">
      <formula>$I$75=""</formula>
    </cfRule>
  </conditionalFormatting>
  <conditionalFormatting sqref="B166:V178">
    <cfRule type="expression" dxfId="7" priority="4">
      <formula>$J$75=""</formula>
    </cfRule>
  </conditionalFormatting>
  <conditionalFormatting sqref="B180:V192">
    <cfRule type="expression" dxfId="6" priority="5">
      <formula>$K$75=""</formula>
    </cfRule>
  </conditionalFormatting>
  <conditionalFormatting sqref="F14">
    <cfRule type="expression" dxfId="5" priority="9">
      <formula>LEFT(F14,6)="Review"</formula>
    </cfRule>
  </conditionalFormatting>
  <conditionalFormatting sqref="G96:K96">
    <cfRule type="expression" dxfId="4" priority="8">
      <formula>AND(G96&lt;&gt;"",G96&lt;&gt;"OK")</formula>
    </cfRule>
  </conditionalFormatting>
  <conditionalFormatting sqref="G115:U246">
    <cfRule type="expression" dxfId="3" priority="6">
      <formula>G$117=0</formula>
    </cfRule>
  </conditionalFormatting>
  <conditionalFormatting sqref="G122:U122">
    <cfRule type="expression" dxfId="2" priority="7">
      <formula>LEFT(G122,7)="Carried"</formula>
    </cfRule>
  </conditionalFormatting>
  <dataValidations count="19">
    <dataValidation type="list" allowBlank="1" showErrorMessage="1" errorTitle="Invalid entry" error="Select a value from the list." sqref="F18" xr:uid="{00000000-0002-0000-0A00-000000000000}">
      <formula1>L_Country</formula1>
    </dataValidation>
    <dataValidation type="list" allowBlank="1" showErrorMessage="1" errorTitle="Invalid entry" error="Select a value from the list." sqref="F20" xr:uid="{00000000-0002-0000-0A00-000001000000}">
      <formula1>L_BOD</formula1>
    </dataValidation>
    <dataValidation type="list" allowBlank="1" showErrorMessage="1" errorTitle="Invalid entry" error="Select a value from the list." sqref="F43" xr:uid="{00000000-0002-0000-0A00-000002000000}">
      <formula1>L_Ops</formula1>
    </dataValidation>
    <dataValidation type="list" allowBlank="1" showErrorMessage="1" errorTitle="Invalid entry" error="Select a value from the list." sqref="F45" xr:uid="{00000000-0002-0000-0A00-000003000000}">
      <formula1>L_Elec</formula1>
    </dataValidation>
    <dataValidation type="list" allowBlank="1" showErrorMessage="1" errorTitle="Invalid entry" error="Select a value from the list." sqref="F48 F51" xr:uid="{00000000-0002-0000-0A00-000004000000}">
      <formula1>L_Fuel</formula1>
    </dataValidation>
    <dataValidation type="list" allowBlank="1" showErrorMessage="1" errorTitle="Invalid entry" error="Select a value from the list." sqref="F50" xr:uid="{00000000-0002-0000-0A00-000005000000}">
      <formula1>L_Transport</formula1>
    </dataValidation>
    <dataValidation type="date" showErrorMessage="1" error="Enter a date between 1 January 2026 and 31 December 2035." sqref="F42" xr:uid="{00000000-0002-0000-0A00-000006000000}">
      <formula1>DATE(2026,1,1)</formula1>
      <formula2>DATE(2035,12,31)</formula2>
    </dataValidation>
    <dataValidation type="whole" allowBlank="1" showErrorMessage="1" error="Enter a value between 0 and 15." sqref="F44 G109:N109" xr:uid="{00000000-0002-0000-0A00-000007000000}">
      <formula1>0</formula1>
      <formula2>15</formula2>
    </dataValidation>
    <dataValidation type="decimal" allowBlank="1" showErrorMessage="1" error="Enter a value between 0 and 1." sqref="G200:U201 G95:K95 E60:E63" xr:uid="{00000000-0002-0000-0A00-000008000000}">
      <formula1>0</formula1>
      <formula2>1</formula2>
    </dataValidation>
    <dataValidation type="list" allowBlank="1" showErrorMessage="1" errorTitle="Invalid entry" error="Select a value from the list." sqref="F69" xr:uid="{00000000-0002-0000-0A00-00000C000000}">
      <formula1>L_SDUAF</formula1>
    </dataValidation>
    <dataValidation type="list" allowBlank="1" showErrorMessage="1" errorTitle="Invalid entry" error="Select a value from the list." sqref="G75 H75 I75 J75 K75" xr:uid="{00000000-0002-0000-0A00-00000D000000}">
      <formula1>L_Pathway</formula1>
    </dataValidation>
    <dataValidation type="list" allowBlank="1" showErrorMessage="1" errorTitle="Invalid entry" error="Select a value from the list." sqref="G77 H77 I77 J77 K77" xr:uid="{00000000-0002-0000-0A00-00000E000000}">
      <formula1>L_Emptied</formula1>
    </dataValidation>
    <dataValidation type="list" allowBlank="1" showErrorMessage="1" errorTitle="Invalid entry" error="Select a value from the list." sqref="G78 H78 I78 J78 K78" xr:uid="{00000000-0002-0000-0A00-00000F000000}">
      <formula1>L_Route</formula1>
    </dataValidation>
    <dataValidation type="list" allowBlank="1" showErrorMessage="1" errorTitle="Invalid entry" error="Select a value from the list." sqref="G81 H81 I81 J81 K81" xr:uid="{00000000-0002-0000-0A00-000010000000}">
      <formula1>L_UAF</formula1>
    </dataValidation>
    <dataValidation type="list" allowBlank="1" showErrorMessage="1" errorTitle="Invalid entry" error="Select a value from the list." sqref="G86 G87 H86 H87 I86 I87 J86 J87 K86 K87" xr:uid="{00000000-0002-0000-0A00-000011000000}">
      <formula1>L_Unit</formula1>
    </dataValidation>
    <dataValidation type="list" allowBlank="1" showErrorMessage="1" errorTitle="Invalid entry" error="Select a value from the list." sqref="G94 H94 I94 J94 K94" xr:uid="{00000000-0002-0000-0A00-000012000000}">
      <formula1>L_YesNo</formula1>
    </dataValidation>
    <dataValidation type="list" allowBlank="1" showErrorMessage="1" errorTitle="Invalid entry" error="Select a value from the list." sqref="G101 H101 I101 J101 K101 L101 M101 N101" xr:uid="{00000000-0002-0000-0A00-000018000000}">
      <formula1>L_Tier</formula1>
    </dataValidation>
    <dataValidation type="list" allowBlank="1" showErrorMessage="1" errorTitle="Invalid entry" error="Select a value from the list." sqref="G102 H102 I102 J102 K102 L102 M102 N102" xr:uid="{00000000-0002-0000-0A00-000019000000}">
      <formula1>L_Material</formula1>
    </dataValidation>
    <dataValidation type="whole" allowBlank="1" showErrorMessage="1" error="Enter a value between 1 and 15." sqref="G108:N108" xr:uid="{00000000-0002-0000-0A00-00001A000000}">
      <formula1>1</formula1>
      <formula2>15</formula2>
    </dataValidation>
  </dataValidations>
  <pageMargins left="0.75" right="0.75" top="1" bottom="1" header="0.5" footer="0.5"/>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09B9D"/>
    <pageSetUpPr fitToPage="1"/>
  </sheetPr>
  <dimension ref="B1:F70"/>
  <sheetViews>
    <sheetView showGridLines="0" workbookViewId="0"/>
  </sheetViews>
  <sheetFormatPr defaultRowHeight="15"/>
  <cols>
    <col min="1" max="1" width="2" customWidth="1"/>
    <col min="2" max="2" width="62" customWidth="1"/>
    <col min="3" max="5" width="16" customWidth="1"/>
    <col min="6" max="6" width="60" customWidth="1"/>
  </cols>
  <sheetData>
    <row r="1" spans="2:6" ht="27.95" customHeight="1">
      <c r="B1" s="22" t="s">
        <v>806</v>
      </c>
      <c r="C1" s="22"/>
      <c r="D1" s="22"/>
      <c r="E1" s="22"/>
      <c r="F1" s="22"/>
    </row>
    <row r="2" spans="2:6" ht="20.100000000000001" customHeight="1">
      <c r="B2" s="93" t="s">
        <v>807</v>
      </c>
      <c r="C2" s="97"/>
      <c r="D2" s="97"/>
      <c r="E2" s="97"/>
      <c r="F2" s="97"/>
    </row>
    <row r="4" spans="2:6" ht="20.100000000000001" customHeight="1">
      <c r="B4" s="20" t="s">
        <v>808</v>
      </c>
      <c r="C4" s="20"/>
      <c r="D4" s="20"/>
      <c r="E4" s="20"/>
      <c r="F4" s="20"/>
    </row>
    <row r="5" spans="2:6">
      <c r="B5" s="25" t="s">
        <v>368</v>
      </c>
      <c r="C5" s="25" t="s">
        <v>809</v>
      </c>
      <c r="D5" s="25" t="s">
        <v>810</v>
      </c>
      <c r="E5" s="25" t="s">
        <v>370</v>
      </c>
      <c r="F5" s="25" t="s">
        <v>324</v>
      </c>
    </row>
    <row r="6" spans="2:6">
      <c r="B6" s="27" t="s">
        <v>811</v>
      </c>
      <c r="C6" s="63">
        <v>1260</v>
      </c>
      <c r="D6" s="63">
        <v>1260</v>
      </c>
      <c r="E6" s="33" t="s">
        <v>593</v>
      </c>
      <c r="F6" s="50" t="s">
        <v>812</v>
      </c>
    </row>
    <row r="7" spans="2:6">
      <c r="B7" s="27" t="s">
        <v>813</v>
      </c>
      <c r="C7" s="63">
        <v>150</v>
      </c>
      <c r="D7" s="63">
        <v>30</v>
      </c>
      <c r="E7" s="33" t="s">
        <v>593</v>
      </c>
      <c r="F7" s="50"/>
    </row>
    <row r="8" spans="2:6">
      <c r="B8" s="27" t="s">
        <v>814</v>
      </c>
      <c r="C8" s="63">
        <v>2</v>
      </c>
      <c r="D8" s="63">
        <v>1</v>
      </c>
      <c r="E8" s="33" t="s">
        <v>593</v>
      </c>
      <c r="F8" s="50" t="s">
        <v>815</v>
      </c>
    </row>
    <row r="9" spans="2:6" ht="22.5">
      <c r="B9" s="27" t="s">
        <v>816</v>
      </c>
      <c r="C9" s="63">
        <v>136</v>
      </c>
      <c r="D9" s="63">
        <v>24</v>
      </c>
      <c r="E9" s="33" t="s">
        <v>593</v>
      </c>
      <c r="F9" s="50" t="s">
        <v>817</v>
      </c>
    </row>
    <row r="10" spans="2:6">
      <c r="B10" s="27" t="s">
        <v>818</v>
      </c>
      <c r="C10" s="45">
        <f>C9/C7</f>
        <v>0.90666666666666662</v>
      </c>
      <c r="D10" s="45">
        <f>D9/D7</f>
        <v>0.8</v>
      </c>
      <c r="E10" s="33" t="s">
        <v>398</v>
      </c>
      <c r="F10" s="50"/>
    </row>
    <row r="11" spans="2:6">
      <c r="B11" s="27" t="s">
        <v>819</v>
      </c>
      <c r="C11" s="45">
        <f>SQRT(C10*(1-C10)/C7*(C6-C7)/(C6-1))</f>
        <v>2.230207170330346E-2</v>
      </c>
      <c r="D11" s="45">
        <f>SQRT(D10*(1-D10)/D7*(D6-D7)/(D6-1))</f>
        <v>7.2183685909747469E-2</v>
      </c>
      <c r="E11" s="33" t="s">
        <v>398</v>
      </c>
      <c r="F11" s="50"/>
    </row>
    <row r="12" spans="2:6">
      <c r="B12" s="27" t="s">
        <v>820</v>
      </c>
      <c r="C12" s="54">
        <f>1.645*C11/C10</f>
        <v>4.0463501417574481E-2</v>
      </c>
      <c r="D12" s="54">
        <f>1.645*D11/D10</f>
        <v>0.14842770415191822</v>
      </c>
      <c r="E12" s="33"/>
      <c r="F12" s="50" t="s">
        <v>821</v>
      </c>
    </row>
    <row r="13" spans="2:6">
      <c r="B13" s="27" t="s">
        <v>822</v>
      </c>
      <c r="C13" s="48" t="str">
        <f>IF(C12&lt;=0.1,"Yes","No")</f>
        <v>Yes</v>
      </c>
      <c r="D13" s="48" t="str">
        <f>IF(D12&lt;=0.1,"Yes","No")</f>
        <v>No</v>
      </c>
      <c r="E13" s="33"/>
      <c r="F13" s="50"/>
    </row>
    <row r="14" spans="2:6" ht="21">
      <c r="B14" s="27" t="s">
        <v>823</v>
      </c>
      <c r="C14" s="70">
        <f>IF(C13="Yes",C10,C10-1.282*C11)</f>
        <v>0.90666666666666662</v>
      </c>
      <c r="D14" s="70">
        <f>IF(D13="Yes",D10,D10-1.282*D11)</f>
        <v>0.70746051466370374</v>
      </c>
      <c r="E14" s="33" t="s">
        <v>398</v>
      </c>
      <c r="F14" s="50" t="s">
        <v>824</v>
      </c>
    </row>
    <row r="16" spans="2:6" ht="20.100000000000001" customHeight="1">
      <c r="B16" s="20" t="s">
        <v>825</v>
      </c>
      <c r="C16" s="20"/>
      <c r="D16" s="20"/>
      <c r="E16" s="20"/>
      <c r="F16" s="20"/>
    </row>
    <row r="17" spans="2:6">
      <c r="B17" s="25" t="s">
        <v>368</v>
      </c>
      <c r="C17" s="25" t="s">
        <v>372</v>
      </c>
      <c r="D17" s="25"/>
      <c r="E17" s="25" t="s">
        <v>370</v>
      </c>
      <c r="F17" s="25" t="s">
        <v>324</v>
      </c>
    </row>
    <row r="18" spans="2:6" ht="22.5">
      <c r="B18" s="27" t="s">
        <v>826</v>
      </c>
      <c r="C18" s="68">
        <v>1000</v>
      </c>
      <c r="D18" s="33"/>
      <c r="E18" s="33" t="s">
        <v>619</v>
      </c>
      <c r="F18" s="50"/>
    </row>
    <row r="19" spans="2:6">
      <c r="B19" s="27" t="s">
        <v>827</v>
      </c>
      <c r="C19" s="68">
        <v>960</v>
      </c>
      <c r="D19" s="33"/>
      <c r="E19" s="33" t="s">
        <v>619</v>
      </c>
      <c r="F19" s="50"/>
    </row>
    <row r="20" spans="2:6" ht="22.5">
      <c r="B20" s="27" t="s">
        <v>828</v>
      </c>
      <c r="C20" s="68">
        <v>25</v>
      </c>
      <c r="D20" s="33"/>
      <c r="E20" s="33" t="s">
        <v>619</v>
      </c>
      <c r="F20" s="50" t="s">
        <v>829</v>
      </c>
    </row>
    <row r="21" spans="2:6" ht="22.5">
      <c r="B21" s="27" t="s">
        <v>830</v>
      </c>
      <c r="C21" s="68">
        <v>10</v>
      </c>
      <c r="D21" s="33"/>
      <c r="E21" s="33" t="s">
        <v>619</v>
      </c>
      <c r="F21" s="50" t="s">
        <v>831</v>
      </c>
    </row>
    <row r="22" spans="2:6" ht="21">
      <c r="B22" s="27" t="s">
        <v>225</v>
      </c>
      <c r="C22" s="70">
        <f>MAX(0,MIN(1,(C19-C20-C21)/C18))</f>
        <v>0.92500000000000004</v>
      </c>
      <c r="D22" s="33"/>
      <c r="E22" s="33" t="s">
        <v>398</v>
      </c>
      <c r="F22" s="50" t="s">
        <v>832</v>
      </c>
    </row>
    <row r="24" spans="2:6" ht="20.100000000000001" customHeight="1">
      <c r="B24" s="20" t="s">
        <v>833</v>
      </c>
      <c r="C24" s="20"/>
      <c r="D24" s="20"/>
      <c r="E24" s="20"/>
      <c r="F24" s="20"/>
    </row>
    <row r="25" spans="2:6">
      <c r="B25" s="25" t="s">
        <v>834</v>
      </c>
      <c r="C25" s="25" t="s">
        <v>835</v>
      </c>
      <c r="D25" s="25"/>
      <c r="E25" s="25" t="s">
        <v>370</v>
      </c>
      <c r="F25" s="25" t="s">
        <v>324</v>
      </c>
    </row>
    <row r="26" spans="2:6">
      <c r="B26" s="27" t="s">
        <v>836</v>
      </c>
      <c r="C26" s="38">
        <v>0.94</v>
      </c>
      <c r="D26" s="33"/>
      <c r="E26" s="33" t="s">
        <v>398</v>
      </c>
      <c r="F26" s="50"/>
    </row>
    <row r="27" spans="2:6">
      <c r="B27" s="27" t="s">
        <v>837</v>
      </c>
      <c r="C27" s="38">
        <v>0.95</v>
      </c>
      <c r="D27" s="33"/>
      <c r="E27" s="33" t="s">
        <v>398</v>
      </c>
      <c r="F27" s="50"/>
    </row>
    <row r="28" spans="2:6">
      <c r="B28" s="27" t="s">
        <v>838</v>
      </c>
      <c r="C28" s="38">
        <v>0.93</v>
      </c>
      <c r="D28" s="33"/>
      <c r="E28" s="33" t="s">
        <v>398</v>
      </c>
      <c r="F28" s="50"/>
    </row>
    <row r="29" spans="2:6">
      <c r="B29" s="27" t="s">
        <v>839</v>
      </c>
      <c r="C29" s="38">
        <v>0.96</v>
      </c>
      <c r="D29" s="33"/>
      <c r="E29" s="33" t="s">
        <v>398</v>
      </c>
      <c r="F29" s="50"/>
    </row>
    <row r="30" spans="2:6">
      <c r="B30" s="27" t="s">
        <v>840</v>
      </c>
      <c r="C30" s="38">
        <v>0.92</v>
      </c>
      <c r="D30" s="33"/>
      <c r="E30" s="33" t="s">
        <v>398</v>
      </c>
      <c r="F30" s="50"/>
    </row>
    <row r="31" spans="2:6">
      <c r="B31" s="27" t="s">
        <v>841</v>
      </c>
      <c r="C31" s="38">
        <v>0.95</v>
      </c>
      <c r="D31" s="33"/>
      <c r="E31" s="33" t="s">
        <v>398</v>
      </c>
      <c r="F31" s="50"/>
    </row>
    <row r="32" spans="2:6">
      <c r="B32" s="27" t="s">
        <v>842</v>
      </c>
      <c r="C32" s="38">
        <v>0.94</v>
      </c>
      <c r="D32" s="33"/>
      <c r="E32" s="33" t="s">
        <v>398</v>
      </c>
      <c r="F32" s="50"/>
    </row>
    <row r="33" spans="2:6">
      <c r="B33" s="27" t="s">
        <v>843</v>
      </c>
      <c r="C33" s="38">
        <v>0.91</v>
      </c>
      <c r="D33" s="33"/>
      <c r="E33" s="33" t="s">
        <v>398</v>
      </c>
      <c r="F33" s="50"/>
    </row>
    <row r="34" spans="2:6">
      <c r="B34" s="27" t="s">
        <v>844</v>
      </c>
      <c r="C34" s="38">
        <v>0.95</v>
      </c>
      <c r="D34" s="33"/>
      <c r="E34" s="33" t="s">
        <v>398</v>
      </c>
      <c r="F34" s="50"/>
    </row>
    <row r="35" spans="2:6">
      <c r="B35" s="27" t="s">
        <v>845</v>
      </c>
      <c r="C35" s="38">
        <v>0.96</v>
      </c>
      <c r="D35" s="33"/>
      <c r="E35" s="33" t="s">
        <v>398</v>
      </c>
      <c r="F35" s="50"/>
    </row>
    <row r="36" spans="2:6">
      <c r="B36" s="27" t="s">
        <v>846</v>
      </c>
      <c r="C36" s="38">
        <v>0.94</v>
      </c>
      <c r="D36" s="33"/>
      <c r="E36" s="33" t="s">
        <v>398</v>
      </c>
      <c r="F36" s="50"/>
    </row>
    <row r="37" spans="2:6">
      <c r="B37" s="27" t="s">
        <v>847</v>
      </c>
      <c r="C37" s="38">
        <v>0.93</v>
      </c>
      <c r="D37" s="33"/>
      <c r="E37" s="33" t="s">
        <v>398</v>
      </c>
      <c r="F37" s="50"/>
    </row>
    <row r="38" spans="2:6" ht="21">
      <c r="B38" s="27" t="s">
        <v>848</v>
      </c>
      <c r="C38" s="71">
        <f>IF(COUNT(C26:C37)=0,0,MIN(C26:C37))</f>
        <v>0.91</v>
      </c>
      <c r="D38" s="33"/>
      <c r="E38" s="33" t="s">
        <v>398</v>
      </c>
      <c r="F38" s="50" t="s">
        <v>849</v>
      </c>
    </row>
    <row r="40" spans="2:6" ht="20.100000000000001" customHeight="1">
      <c r="B40" s="20" t="s">
        <v>850</v>
      </c>
      <c r="C40" s="20"/>
      <c r="D40" s="20"/>
      <c r="E40" s="20"/>
      <c r="F40" s="20"/>
    </row>
    <row r="41" spans="2:6">
      <c r="B41" s="25" t="s">
        <v>368</v>
      </c>
      <c r="C41" s="25" t="s">
        <v>372</v>
      </c>
      <c r="D41" s="25"/>
      <c r="E41" s="25" t="s">
        <v>370</v>
      </c>
      <c r="F41" s="25" t="s">
        <v>324</v>
      </c>
    </row>
    <row r="42" spans="2:6">
      <c r="B42" s="27" t="s">
        <v>851</v>
      </c>
      <c r="C42" s="53">
        <v>0.3</v>
      </c>
      <c r="D42" s="33"/>
      <c r="E42" s="33" t="s">
        <v>398</v>
      </c>
      <c r="F42" s="50" t="s">
        <v>852</v>
      </c>
    </row>
    <row r="43" spans="2:6">
      <c r="B43" s="27" t="s">
        <v>853</v>
      </c>
      <c r="C43" s="53">
        <v>0.15</v>
      </c>
      <c r="D43" s="33"/>
      <c r="E43" s="33" t="s">
        <v>398</v>
      </c>
      <c r="F43" s="50" t="s">
        <v>854</v>
      </c>
    </row>
    <row r="44" spans="2:6">
      <c r="B44" s="27" t="s">
        <v>523</v>
      </c>
      <c r="C44" s="40">
        <v>0.55000000000000004</v>
      </c>
      <c r="D44" s="33"/>
      <c r="E44" s="33" t="s">
        <v>398</v>
      </c>
      <c r="F44" s="50"/>
    </row>
    <row r="45" spans="2:6">
      <c r="B45" s="27" t="s">
        <v>855</v>
      </c>
      <c r="C45" s="40">
        <v>0.42</v>
      </c>
      <c r="D45" s="33"/>
      <c r="E45" s="33" t="s">
        <v>398</v>
      </c>
      <c r="F45" s="50" t="s">
        <v>856</v>
      </c>
    </row>
    <row r="46" spans="2:6">
      <c r="B46" s="27" t="s">
        <v>857</v>
      </c>
      <c r="C46" s="54">
        <f>(C44-C45)/C44</f>
        <v>0.23636363636363644</v>
      </c>
      <c r="D46" s="33"/>
      <c r="E46" s="33" t="s">
        <v>398</v>
      </c>
      <c r="F46" s="50"/>
    </row>
    <row r="47" spans="2:6">
      <c r="B47" s="27" t="s">
        <v>858</v>
      </c>
      <c r="C47" s="54">
        <f>SQRT(C42^2+C43^2+C46^2)</f>
        <v>0.41032641713036383</v>
      </c>
      <c r="D47" s="33"/>
      <c r="E47" s="33" t="s">
        <v>398</v>
      </c>
      <c r="F47" s="50"/>
    </row>
    <row r="48" spans="2:6">
      <c r="B48" s="27" t="s">
        <v>859</v>
      </c>
      <c r="C48" s="70">
        <f>1-Defaults!$D$21*C47</f>
        <v>0.73160549055502899</v>
      </c>
      <c r="D48" s="33"/>
      <c r="E48" s="33" t="s">
        <v>398</v>
      </c>
      <c r="F48" s="50" t="s">
        <v>860</v>
      </c>
    </row>
    <row r="50" spans="2:6" ht="20.100000000000001" customHeight="1">
      <c r="B50" s="20" t="s">
        <v>861</v>
      </c>
      <c r="C50" s="20"/>
      <c r="D50" s="20"/>
      <c r="E50" s="20"/>
      <c r="F50" s="20"/>
    </row>
    <row r="51" spans="2:6">
      <c r="B51" s="25" t="s">
        <v>368</v>
      </c>
      <c r="C51" s="25" t="s">
        <v>372</v>
      </c>
      <c r="D51" s="25"/>
      <c r="E51" s="25" t="s">
        <v>370</v>
      </c>
      <c r="F51" s="25" t="s">
        <v>324</v>
      </c>
    </row>
    <row r="52" spans="2:6">
      <c r="B52" s="27" t="s">
        <v>862</v>
      </c>
      <c r="C52" s="40">
        <v>3.6999999999999998E-2</v>
      </c>
      <c r="D52" s="33"/>
      <c r="E52" s="33" t="s">
        <v>378</v>
      </c>
      <c r="F52" s="50" t="s">
        <v>863</v>
      </c>
    </row>
    <row r="53" spans="2:6">
      <c r="B53" s="27" t="s">
        <v>864</v>
      </c>
      <c r="C53" s="40">
        <v>3.5000000000000003E-2</v>
      </c>
      <c r="D53" s="33"/>
      <c r="E53" s="33" t="s">
        <v>378</v>
      </c>
      <c r="F53" s="50" t="s">
        <v>865</v>
      </c>
    </row>
    <row r="54" spans="2:6">
      <c r="B54" s="27" t="s">
        <v>866</v>
      </c>
      <c r="C54" s="40">
        <v>4.4999999999999998E-2</v>
      </c>
      <c r="D54" s="33"/>
      <c r="E54" s="33" t="s">
        <v>378</v>
      </c>
      <c r="F54" s="50"/>
    </row>
    <row r="55" spans="2:6">
      <c r="B55" s="27" t="s">
        <v>867</v>
      </c>
      <c r="C55" s="39">
        <v>5.1999999999999998E-2</v>
      </c>
      <c r="D55" s="33"/>
      <c r="E55" s="33" t="s">
        <v>378</v>
      </c>
      <c r="F55" s="50" t="s">
        <v>868</v>
      </c>
    </row>
    <row r="56" spans="2:6">
      <c r="B56" s="27" t="s">
        <v>869</v>
      </c>
      <c r="C56" s="39">
        <v>1.2E-2</v>
      </c>
      <c r="D56" s="33"/>
      <c r="E56" s="33" t="s">
        <v>378</v>
      </c>
      <c r="F56" s="50"/>
    </row>
    <row r="57" spans="2:6">
      <c r="B57" s="27" t="s">
        <v>870</v>
      </c>
      <c r="C57" s="63">
        <v>24</v>
      </c>
      <c r="D57" s="33"/>
      <c r="E57" s="33" t="s">
        <v>871</v>
      </c>
      <c r="F57" s="50"/>
    </row>
    <row r="58" spans="2:6">
      <c r="B58" s="27" t="s">
        <v>872</v>
      </c>
      <c r="C58" s="45">
        <f>C55-1.645*C56/SQRT(C57)</f>
        <v>4.7970589373121666E-2</v>
      </c>
      <c r="D58" s="33"/>
      <c r="E58" s="33" t="s">
        <v>378</v>
      </c>
      <c r="F58" s="50"/>
    </row>
    <row r="59" spans="2:6" ht="21">
      <c r="B59" s="27" t="s">
        <v>873</v>
      </c>
      <c r="C59" s="45">
        <f>IF(C55&gt;C54,C58,C55)</f>
        <v>4.7970589373121666E-2</v>
      </c>
      <c r="D59" s="33"/>
      <c r="E59" s="33" t="s">
        <v>378</v>
      </c>
      <c r="F59" s="50" t="s">
        <v>874</v>
      </c>
    </row>
    <row r="60" spans="2:6">
      <c r="B60" s="27" t="s">
        <v>875</v>
      </c>
      <c r="C60" s="61">
        <f>MIN(C59,Defaults!$D$11*C52)</f>
        <v>4.7970589373121666E-2</v>
      </c>
      <c r="D60" s="33"/>
      <c r="E60" s="33" t="s">
        <v>378</v>
      </c>
      <c r="F60" s="50" t="s">
        <v>876</v>
      </c>
    </row>
    <row r="62" spans="2:6" ht="20.100000000000001" customHeight="1">
      <c r="B62" s="20" t="s">
        <v>877</v>
      </c>
      <c r="C62" s="20"/>
      <c r="D62" s="20"/>
      <c r="E62" s="20"/>
      <c r="F62" s="20"/>
    </row>
    <row r="63" spans="2:6">
      <c r="B63" s="25" t="s">
        <v>368</v>
      </c>
      <c r="C63" s="25" t="s">
        <v>372</v>
      </c>
      <c r="D63" s="25"/>
      <c r="E63" s="25" t="s">
        <v>370</v>
      </c>
      <c r="F63" s="25" t="s">
        <v>324</v>
      </c>
    </row>
    <row r="64" spans="2:6">
      <c r="B64" s="27" t="s">
        <v>878</v>
      </c>
      <c r="C64" s="68">
        <v>100</v>
      </c>
      <c r="D64" s="33"/>
      <c r="E64" s="33" t="s">
        <v>359</v>
      </c>
      <c r="F64" s="50" t="s">
        <v>879</v>
      </c>
    </row>
    <row r="65" spans="2:6">
      <c r="B65" s="27" t="s">
        <v>600</v>
      </c>
      <c r="C65" s="59">
        <v>46388</v>
      </c>
      <c r="D65" s="33"/>
      <c r="E65" s="33" t="s">
        <v>432</v>
      </c>
      <c r="F65" s="50"/>
    </row>
    <row r="66" spans="2:6">
      <c r="B66" s="27" t="s">
        <v>598</v>
      </c>
      <c r="C66" s="72">
        <v>5</v>
      </c>
      <c r="D66" s="33"/>
      <c r="E66" s="33" t="s">
        <v>436</v>
      </c>
      <c r="F66" s="50" t="s">
        <v>880</v>
      </c>
    </row>
    <row r="67" spans="2:6">
      <c r="B67" s="27" t="s">
        <v>881</v>
      </c>
      <c r="C67" s="59">
        <v>47483</v>
      </c>
      <c r="D67" s="33"/>
      <c r="E67" s="33" t="s">
        <v>432</v>
      </c>
      <c r="F67" s="50"/>
    </row>
    <row r="68" spans="2:6">
      <c r="B68" s="27" t="s">
        <v>882</v>
      </c>
      <c r="C68" s="67">
        <f>MAX(0,MIN(C67+1,C65+C66*365)-C65)</f>
        <v>1096</v>
      </c>
      <c r="D68" s="33"/>
      <c r="E68" s="33" t="s">
        <v>611</v>
      </c>
      <c r="F68" s="50"/>
    </row>
    <row r="69" spans="2:6">
      <c r="B69" s="27" t="s">
        <v>883</v>
      </c>
      <c r="C69" s="43">
        <f>C64*C68/(C66*365)</f>
        <v>60.054794520547944</v>
      </c>
      <c r="D69" s="33"/>
      <c r="E69" s="33" t="s">
        <v>359</v>
      </c>
      <c r="F69" s="50" t="s">
        <v>884</v>
      </c>
    </row>
    <row r="70" spans="2:6">
      <c r="B70" s="27" t="s">
        <v>885</v>
      </c>
      <c r="C70" s="73">
        <f>C64-C69</f>
        <v>39.945205479452056</v>
      </c>
      <c r="D70" s="33"/>
      <c r="E70" s="33" t="s">
        <v>359</v>
      </c>
      <c r="F70" s="50" t="s">
        <v>886</v>
      </c>
    </row>
  </sheetData>
  <sheetProtection password="86E8" sheet="1" objects="1" scenarios="1" formatColumns="0" formatRows="0"/>
  <mergeCells count="1">
    <mergeCell ref="B2:F2"/>
  </mergeCells>
  <pageMargins left="0.75" right="0.75" top="1" bottom="1" header="0.5" footer="0.5"/>
  <pageSetup paperSize="9"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AFB936"/>
    <pageSetUpPr fitToPage="1"/>
  </sheetPr>
  <dimension ref="B1:G151"/>
  <sheetViews>
    <sheetView showGridLines="0" workbookViewId="0">
      <pane xSplit="2" ySplit="4" topLeftCell="C5" activePane="bottomRight" state="frozen"/>
      <selection pane="bottomRight"/>
      <selection pane="bottomLeft"/>
      <selection pane="topRight"/>
    </sheetView>
  </sheetViews>
  <sheetFormatPr defaultRowHeight="15"/>
  <cols>
    <col min="1" max="1" width="2" customWidth="1"/>
    <col min="2" max="2" width="66" customWidth="1"/>
    <col min="3" max="4" width="15" customWidth="1"/>
    <col min="5" max="5" width="12" customWidth="1"/>
    <col min="6" max="6" width="11" customWidth="1"/>
    <col min="7" max="7" width="58" customWidth="1"/>
  </cols>
  <sheetData>
    <row r="1" spans="2:7" ht="27.95" customHeight="1">
      <c r="B1" s="22" t="s">
        <v>887</v>
      </c>
      <c r="C1" s="22"/>
      <c r="D1" s="22"/>
      <c r="E1" s="22"/>
      <c r="F1" s="22"/>
      <c r="G1" s="22"/>
    </row>
    <row r="3" spans="2:7">
      <c r="B3" s="30" t="s">
        <v>888</v>
      </c>
      <c r="C3" s="96" t="str">
        <f>IF(COUNTIF(F7:F151,"FAIL")=0,"All checks pass",COUNTIF(F7:F151,"FAIL")&amp;" check(s) fail")</f>
        <v>All checks pass</v>
      </c>
      <c r="D3" s="98"/>
      <c r="E3" s="99"/>
    </row>
    <row r="5" spans="2:7" ht="20.100000000000001" customHeight="1">
      <c r="B5" s="20" t="s">
        <v>889</v>
      </c>
      <c r="C5" s="20"/>
      <c r="D5" s="20"/>
      <c r="E5" s="20"/>
      <c r="F5" s="20"/>
      <c r="G5" s="20"/>
    </row>
    <row r="6" spans="2:7">
      <c r="B6" s="25" t="s">
        <v>890</v>
      </c>
      <c r="C6" s="25" t="s">
        <v>891</v>
      </c>
      <c r="D6" s="25" t="s">
        <v>892</v>
      </c>
      <c r="E6" s="25" t="s">
        <v>893</v>
      </c>
      <c r="F6" s="25" t="s">
        <v>286</v>
      </c>
      <c r="G6" s="25" t="s">
        <v>894</v>
      </c>
    </row>
    <row r="7" spans="2:7">
      <c r="B7" s="27" t="s">
        <v>895</v>
      </c>
      <c r="C7" s="74">
        <v>0.65410000000000001</v>
      </c>
      <c r="D7" s="45">
        <f>ROUND(Defaults!$D$19/Defaults!$D$20,4)</f>
        <v>0.65410000000000001</v>
      </c>
      <c r="E7" s="72">
        <v>0</v>
      </c>
      <c r="F7" s="75" t="str">
        <f t="shared" ref="F7:F23" si="0">IF(ABS(D7-C7)&lt;=E7,"PASS","FAIL")</f>
        <v>PASS</v>
      </c>
      <c r="G7" s="33" t="s">
        <v>185</v>
      </c>
    </row>
    <row r="8" spans="2:7" ht="22.5">
      <c r="B8" s="27" t="s">
        <v>896</v>
      </c>
      <c r="C8" s="74">
        <v>0.65390000000000004</v>
      </c>
      <c r="D8" s="45">
        <f>ROUND(NORMSINV(0.9)/NORMSINV(0.975),4)</f>
        <v>0.65390000000000004</v>
      </c>
      <c r="E8" s="72">
        <v>1E-4</v>
      </c>
      <c r="F8" s="75" t="str">
        <f t="shared" si="0"/>
        <v>PASS</v>
      </c>
      <c r="G8" s="33" t="s">
        <v>897</v>
      </c>
    </row>
    <row r="9" spans="2:7" ht="21">
      <c r="B9" s="27" t="s">
        <v>898</v>
      </c>
      <c r="C9" s="76">
        <v>0.56999999999999995</v>
      </c>
      <c r="D9" s="42">
        <f>ROUND(Defaults!G70,2)</f>
        <v>0.56999999999999995</v>
      </c>
      <c r="E9" s="72">
        <v>0</v>
      </c>
      <c r="F9" s="75" t="str">
        <f t="shared" si="0"/>
        <v>PASS</v>
      </c>
      <c r="G9" s="33" t="s">
        <v>899</v>
      </c>
    </row>
    <row r="10" spans="2:7" ht="21">
      <c r="B10" s="27" t="s">
        <v>900</v>
      </c>
      <c r="C10" s="76">
        <v>0.67</v>
      </c>
      <c r="D10" s="42">
        <f>ROUND(Defaults!G73,2)</f>
        <v>0.67</v>
      </c>
      <c r="E10" s="72">
        <v>0</v>
      </c>
      <c r="F10" s="75" t="str">
        <f t="shared" si="0"/>
        <v>PASS</v>
      </c>
      <c r="G10" s="33" t="s">
        <v>899</v>
      </c>
    </row>
    <row r="11" spans="2:7" ht="21">
      <c r="B11" s="27" t="s">
        <v>901</v>
      </c>
      <c r="C11" s="76">
        <v>0.69</v>
      </c>
      <c r="D11" s="42">
        <f>ROUND(Defaults!G71,2)</f>
        <v>0.69</v>
      </c>
      <c r="E11" s="72">
        <v>0</v>
      </c>
      <c r="F11" s="75" t="str">
        <f t="shared" si="0"/>
        <v>PASS</v>
      </c>
      <c r="G11" s="33" t="s">
        <v>899</v>
      </c>
    </row>
    <row r="12" spans="2:7" ht="21">
      <c r="B12" s="27" t="s">
        <v>902</v>
      </c>
      <c r="C12" s="76">
        <v>0.69</v>
      </c>
      <c r="D12" s="42">
        <f>ROUND(Defaults!G74,2)</f>
        <v>0.69</v>
      </c>
      <c r="E12" s="72">
        <v>0</v>
      </c>
      <c r="F12" s="75" t="str">
        <f t="shared" si="0"/>
        <v>PASS</v>
      </c>
      <c r="G12" s="33" t="s">
        <v>899</v>
      </c>
    </row>
    <row r="13" spans="2:7" ht="21">
      <c r="B13" s="27" t="s">
        <v>903</v>
      </c>
      <c r="C13" s="76">
        <v>0.72</v>
      </c>
      <c r="D13" s="42">
        <f>ROUND(Defaults!G72,2)</f>
        <v>0.72</v>
      </c>
      <c r="E13" s="72">
        <v>0</v>
      </c>
      <c r="F13" s="75" t="str">
        <f t="shared" si="0"/>
        <v>PASS</v>
      </c>
      <c r="G13" s="33" t="s">
        <v>899</v>
      </c>
    </row>
    <row r="14" spans="2:7" ht="21">
      <c r="B14" s="27" t="s">
        <v>904</v>
      </c>
      <c r="C14" s="76">
        <v>0.31</v>
      </c>
      <c r="D14" s="42">
        <f>ROUND(Defaults!G76,2)</f>
        <v>0.31</v>
      </c>
      <c r="E14" s="72">
        <v>0</v>
      </c>
      <c r="F14" s="75" t="str">
        <f t="shared" si="0"/>
        <v>PASS</v>
      </c>
      <c r="G14" s="33" t="s">
        <v>899</v>
      </c>
    </row>
    <row r="15" spans="2:7">
      <c r="B15" s="27" t="s">
        <v>905</v>
      </c>
      <c r="C15" s="77">
        <v>0.41699999999999998</v>
      </c>
      <c r="D15" s="41">
        <f>ROUND(Defaults!$D$9/Defaults!$D$8,3)</f>
        <v>0.41699999999999998</v>
      </c>
      <c r="E15" s="72">
        <v>0</v>
      </c>
      <c r="F15" s="75" t="str">
        <f t="shared" si="0"/>
        <v>PASS</v>
      </c>
      <c r="G15" s="33" t="s">
        <v>906</v>
      </c>
    </row>
    <row r="16" spans="2:7" ht="22.5">
      <c r="B16" s="27" t="s">
        <v>907</v>
      </c>
      <c r="C16" s="74">
        <v>1.8E-3</v>
      </c>
      <c r="D16" s="45">
        <f>ROUNDDOWN((2126-NORMSINV(0.9)*1480/SQRT(48))/10^6,4)</f>
        <v>1.8E-3</v>
      </c>
      <c r="E16" s="72">
        <v>0</v>
      </c>
      <c r="F16" s="75" t="str">
        <f t="shared" si="0"/>
        <v>PASS</v>
      </c>
      <c r="G16" s="33" t="s">
        <v>908</v>
      </c>
    </row>
    <row r="17" spans="2:7" ht="22.5">
      <c r="B17" s="27" t="s">
        <v>909</v>
      </c>
      <c r="C17" s="78">
        <v>22.7</v>
      </c>
      <c r="D17" s="43">
        <f>ROUND(1000*0.037*365*Defaults!$D$8*Defaults!$D$6*0.1/1000,1)</f>
        <v>22.7</v>
      </c>
      <c r="E17" s="72">
        <v>0</v>
      </c>
      <c r="F17" s="75" t="str">
        <f t="shared" si="0"/>
        <v>PASS</v>
      </c>
      <c r="G17" s="33" t="s">
        <v>910</v>
      </c>
    </row>
    <row r="18" spans="2:7" ht="22.5">
      <c r="B18" s="27" t="s">
        <v>911</v>
      </c>
      <c r="C18" s="78">
        <v>45.4</v>
      </c>
      <c r="D18" s="43">
        <f>ROUND(1000*0.037*365*Defaults!$D$8*Defaults!$D$6*0.2/1000,1)</f>
        <v>45.4</v>
      </c>
      <c r="E18" s="72">
        <v>0</v>
      </c>
      <c r="F18" s="75" t="str">
        <f t="shared" si="0"/>
        <v>PASS</v>
      </c>
      <c r="G18" s="33" t="s">
        <v>910</v>
      </c>
    </row>
    <row r="19" spans="2:7" ht="22.5">
      <c r="B19" s="27" t="s">
        <v>912</v>
      </c>
      <c r="C19" s="78">
        <v>113.4</v>
      </c>
      <c r="D19" s="43">
        <f>ROUND(1000*0.037*365*Defaults!$D$8*Defaults!$D$6*0.5/1000,1)</f>
        <v>113.4</v>
      </c>
      <c r="E19" s="72">
        <v>0</v>
      </c>
      <c r="F19" s="75" t="str">
        <f t="shared" si="0"/>
        <v>PASS</v>
      </c>
      <c r="G19" s="33" t="s">
        <v>910</v>
      </c>
    </row>
    <row r="20" spans="2:7">
      <c r="B20" s="27" t="s">
        <v>913</v>
      </c>
      <c r="C20" s="78">
        <v>124.8</v>
      </c>
      <c r="D20" s="43">
        <f>ROUND(1000*0.037*365*Defaults!$D$8*Defaults!$D$6*0.55/1000,1)</f>
        <v>124.8</v>
      </c>
      <c r="E20" s="72">
        <v>0</v>
      </c>
      <c r="F20" s="75" t="str">
        <f t="shared" si="0"/>
        <v>PASS</v>
      </c>
      <c r="G20" s="33" t="s">
        <v>910</v>
      </c>
    </row>
    <row r="21" spans="2:7">
      <c r="B21" s="27" t="s">
        <v>914</v>
      </c>
      <c r="C21" s="78">
        <v>158.80000000000001</v>
      </c>
      <c r="D21" s="43">
        <f>ROUND(1000*0.037*365*Defaults!$D$8*Defaults!$D$6*0.7/1000,1)</f>
        <v>158.80000000000001</v>
      </c>
      <c r="E21" s="72">
        <v>0</v>
      </c>
      <c r="F21" s="75" t="str">
        <f t="shared" si="0"/>
        <v>PASS</v>
      </c>
      <c r="G21" s="33" t="s">
        <v>910</v>
      </c>
    </row>
    <row r="22" spans="2:7" ht="22.5">
      <c r="B22" s="27" t="s">
        <v>915</v>
      </c>
      <c r="C22" s="77">
        <v>0.47499999999999998</v>
      </c>
      <c r="D22" s="41">
        <f>MIN(Defaults!$D$14,0.6)*(1-Defaults!$D$15)</f>
        <v>0.47499999999999998</v>
      </c>
      <c r="E22" s="72">
        <v>1.0000000000000001E-9</v>
      </c>
      <c r="F22" s="75" t="str">
        <f t="shared" si="0"/>
        <v>PASS</v>
      </c>
      <c r="G22" s="33" t="s">
        <v>916</v>
      </c>
    </row>
    <row r="23" spans="2:7">
      <c r="B23" s="27" t="s">
        <v>917</v>
      </c>
      <c r="C23" s="77">
        <v>2.7370000000000001</v>
      </c>
      <c r="D23" s="41">
        <f>ROUND(0.845*43.3*74800/10^6,3)</f>
        <v>2.7370000000000001</v>
      </c>
      <c r="E23" s="72">
        <v>5.0000000000000001E-4</v>
      </c>
      <c r="F23" s="75" t="str">
        <f t="shared" si="0"/>
        <v>PASS</v>
      </c>
      <c r="G23" s="33" t="s">
        <v>918</v>
      </c>
    </row>
    <row r="25" spans="2:7" ht="20.100000000000001" customHeight="1">
      <c r="B25" s="20" t="s">
        <v>919</v>
      </c>
      <c r="C25" s="20"/>
      <c r="D25" s="20"/>
      <c r="E25" s="20"/>
      <c r="F25" s="20"/>
      <c r="G25" s="20"/>
    </row>
    <row r="26" spans="2:7" ht="30" customHeight="1">
      <c r="B26" s="94" t="s">
        <v>920</v>
      </c>
      <c r="C26" s="97"/>
      <c r="D26" s="97"/>
      <c r="E26" s="97"/>
      <c r="F26" s="97"/>
      <c r="G26" s="97"/>
    </row>
    <row r="27" spans="2:7">
      <c r="B27" s="25" t="s">
        <v>890</v>
      </c>
      <c r="C27" s="25" t="s">
        <v>891</v>
      </c>
      <c r="D27" s="25" t="s">
        <v>892</v>
      </c>
      <c r="E27" s="25" t="s">
        <v>893</v>
      </c>
      <c r="F27" s="25" t="s">
        <v>286</v>
      </c>
      <c r="G27" s="25" t="s">
        <v>894</v>
      </c>
    </row>
    <row r="28" spans="2:7">
      <c r="B28" s="27" t="s">
        <v>921</v>
      </c>
      <c r="C28" s="74">
        <v>0.30875000000000002</v>
      </c>
      <c r="D28" s="45">
        <f>'S1 CBS-OD'!G80</f>
        <v>0.30874999999999997</v>
      </c>
      <c r="E28" s="72">
        <v>9.9999999999999995E-7</v>
      </c>
      <c r="F28" s="75" t="str">
        <f t="shared" ref="F28:F59" si="1">IF(ABS(D28-C28)&lt;=E28,"PASS","FAIL")</f>
        <v>PASS</v>
      </c>
      <c r="G28" s="33" t="s">
        <v>922</v>
      </c>
    </row>
    <row r="29" spans="2:7">
      <c r="B29" s="27" t="s">
        <v>923</v>
      </c>
      <c r="C29" s="74">
        <v>0.68646600000000002</v>
      </c>
      <c r="D29" s="45">
        <f>'S1 CBS-OD'!G83</f>
        <v>0.68646610903629535</v>
      </c>
      <c r="E29" s="72">
        <v>9.9999999999999995E-7</v>
      </c>
      <c r="F29" s="75" t="str">
        <f t="shared" si="1"/>
        <v>PASS</v>
      </c>
      <c r="G29" s="33" t="s">
        <v>922</v>
      </c>
    </row>
    <row r="30" spans="2:7">
      <c r="B30" s="27" t="s">
        <v>924</v>
      </c>
      <c r="C30" s="72">
        <v>184</v>
      </c>
      <c r="D30" s="48">
        <f>'S1 CBS-OD'!G120</f>
        <v>184</v>
      </c>
      <c r="E30" s="72">
        <v>0</v>
      </c>
      <c r="F30" s="75" t="str">
        <f t="shared" si="1"/>
        <v>PASS</v>
      </c>
      <c r="G30" s="33" t="s">
        <v>922</v>
      </c>
    </row>
    <row r="31" spans="2:7">
      <c r="B31" s="27" t="s">
        <v>925</v>
      </c>
      <c r="C31" s="79">
        <v>29019.751089000001</v>
      </c>
      <c r="D31" s="80">
        <f>'S1 CBS-OD'!V195</f>
        <v>29019.751088999994</v>
      </c>
      <c r="E31" s="72">
        <v>0.01</v>
      </c>
      <c r="F31" s="75" t="str">
        <f t="shared" si="1"/>
        <v>PASS</v>
      </c>
      <c r="G31" s="33" t="s">
        <v>922</v>
      </c>
    </row>
    <row r="32" spans="2:7">
      <c r="B32" s="27" t="s">
        <v>926</v>
      </c>
      <c r="C32" s="79">
        <v>16543.968862999998</v>
      </c>
      <c r="D32" s="80">
        <f>'S1 CBS-OD'!V202</f>
        <v>16543.968863469836</v>
      </c>
      <c r="E32" s="72">
        <v>0.01</v>
      </c>
      <c r="F32" s="75" t="str">
        <f t="shared" si="1"/>
        <v>PASS</v>
      </c>
      <c r="G32" s="33" t="s">
        <v>922</v>
      </c>
    </row>
    <row r="33" spans="2:7">
      <c r="B33" s="27" t="s">
        <v>927</v>
      </c>
      <c r="C33" s="79">
        <v>541.93913799999996</v>
      </c>
      <c r="D33" s="80">
        <f>'S1 CBS-OD'!V203</f>
        <v>541.93913829263454</v>
      </c>
      <c r="E33" s="72">
        <v>0.01</v>
      </c>
      <c r="F33" s="75" t="str">
        <f t="shared" si="1"/>
        <v>PASS</v>
      </c>
      <c r="G33" s="33" t="s">
        <v>922</v>
      </c>
    </row>
    <row r="34" spans="2:7">
      <c r="B34" s="27" t="s">
        <v>928</v>
      </c>
      <c r="C34" s="79">
        <v>4340.0961859999998</v>
      </c>
      <c r="D34" s="80">
        <f>'S1 CBS-OD'!V222</f>
        <v>4340.0961858000001</v>
      </c>
      <c r="E34" s="72">
        <v>0.01</v>
      </c>
      <c r="F34" s="75" t="str">
        <f t="shared" si="1"/>
        <v>PASS</v>
      </c>
      <c r="G34" s="33" t="s">
        <v>922</v>
      </c>
    </row>
    <row r="35" spans="2:7">
      <c r="B35" s="27" t="s">
        <v>929</v>
      </c>
      <c r="C35" s="79">
        <v>2357.4</v>
      </c>
      <c r="D35" s="80">
        <f>'S1 CBS-OD'!V240</f>
        <v>2357.4</v>
      </c>
      <c r="E35" s="72">
        <v>0.01</v>
      </c>
      <c r="F35" s="75" t="str">
        <f t="shared" si="1"/>
        <v>PASS</v>
      </c>
      <c r="G35" s="33" t="s">
        <v>922</v>
      </c>
    </row>
    <row r="36" spans="2:7">
      <c r="B36" s="27" t="s">
        <v>930</v>
      </c>
      <c r="C36" s="79">
        <v>9942.1871449999999</v>
      </c>
      <c r="D36" s="80">
        <f>'S1 CBS-OD'!V244</f>
        <v>9942.187144698979</v>
      </c>
      <c r="E36" s="72">
        <v>0.01</v>
      </c>
      <c r="F36" s="75" t="str">
        <f t="shared" si="1"/>
        <v>PASS</v>
      </c>
      <c r="G36" s="33" t="s">
        <v>922</v>
      </c>
    </row>
    <row r="37" spans="2:7">
      <c r="B37" s="27" t="s">
        <v>931</v>
      </c>
      <c r="C37" s="79">
        <v>9942.1871449999999</v>
      </c>
      <c r="D37" s="80">
        <f>'S1 CBS-OD'!F7</f>
        <v>9942.187144698979</v>
      </c>
      <c r="E37" s="72">
        <v>0.01</v>
      </c>
      <c r="F37" s="75" t="str">
        <f t="shared" si="1"/>
        <v>PASS</v>
      </c>
      <c r="G37" s="33" t="s">
        <v>922</v>
      </c>
    </row>
    <row r="38" spans="2:7">
      <c r="B38" s="27" t="s">
        <v>932</v>
      </c>
      <c r="C38" s="79">
        <v>444.34189500000002</v>
      </c>
      <c r="D38" s="80">
        <f>'S1 CBS-OD'!H243</f>
        <v>444.34189456569084</v>
      </c>
      <c r="E38" s="72">
        <v>1E-3</v>
      </c>
      <c r="F38" s="75" t="str">
        <f t="shared" si="1"/>
        <v>PASS</v>
      </c>
      <c r="G38" s="33" t="s">
        <v>922</v>
      </c>
    </row>
    <row r="39" spans="2:7">
      <c r="B39" s="27" t="s">
        <v>933</v>
      </c>
      <c r="C39" s="74">
        <v>0.7</v>
      </c>
      <c r="D39" s="45">
        <f>'S2 Pit service'!G80</f>
        <v>0.7</v>
      </c>
      <c r="E39" s="72">
        <v>9.9999999999999995E-7</v>
      </c>
      <c r="F39" s="75" t="str">
        <f t="shared" si="1"/>
        <v>PASS</v>
      </c>
      <c r="G39" s="33" t="s">
        <v>922</v>
      </c>
    </row>
    <row r="40" spans="2:7">
      <c r="B40" s="27" t="s">
        <v>934</v>
      </c>
      <c r="C40" s="74">
        <v>0.72</v>
      </c>
      <c r="D40" s="45">
        <f>'S2 Pit service'!G83</f>
        <v>0.72</v>
      </c>
      <c r="E40" s="72">
        <v>9.9999999999999995E-7</v>
      </c>
      <c r="F40" s="75" t="str">
        <f t="shared" si="1"/>
        <v>PASS</v>
      </c>
      <c r="G40" s="33" t="s">
        <v>922</v>
      </c>
    </row>
    <row r="41" spans="2:7">
      <c r="B41" s="27" t="s">
        <v>935</v>
      </c>
      <c r="C41" s="72">
        <v>365</v>
      </c>
      <c r="D41" s="48">
        <f>'S2 Pit service'!G120</f>
        <v>365</v>
      </c>
      <c r="E41" s="72">
        <v>0</v>
      </c>
      <c r="F41" s="75" t="str">
        <f t="shared" si="1"/>
        <v>PASS</v>
      </c>
      <c r="G41" s="33" t="s">
        <v>922</v>
      </c>
    </row>
    <row r="42" spans="2:7">
      <c r="B42" s="27" t="s">
        <v>936</v>
      </c>
      <c r="C42" s="79">
        <v>104942.04</v>
      </c>
      <c r="D42" s="80">
        <f>'S2 Pit service'!V195</f>
        <v>104942.04</v>
      </c>
      <c r="E42" s="72">
        <v>0.01</v>
      </c>
      <c r="F42" s="75" t="str">
        <f t="shared" si="1"/>
        <v>PASS</v>
      </c>
      <c r="G42" s="33" t="s">
        <v>922</v>
      </c>
    </row>
    <row r="43" spans="2:7">
      <c r="B43" s="27" t="s">
        <v>937</v>
      </c>
      <c r="C43" s="79">
        <v>63428.659806000003</v>
      </c>
      <c r="D43" s="80">
        <f>'S2 Pit service'!V202</f>
        <v>63428.659806251897</v>
      </c>
      <c r="E43" s="72">
        <v>0.01</v>
      </c>
      <c r="F43" s="75" t="str">
        <f t="shared" si="1"/>
        <v>PASS</v>
      </c>
      <c r="G43" s="33" t="s">
        <v>922</v>
      </c>
    </row>
    <row r="44" spans="2:7">
      <c r="B44" s="27" t="s">
        <v>938</v>
      </c>
      <c r="C44" s="79">
        <v>2059.4118509999998</v>
      </c>
      <c r="D44" s="80">
        <f>'S2 Pit service'!V203</f>
        <v>2059.4118513023986</v>
      </c>
      <c r="E44" s="72">
        <v>0.01</v>
      </c>
      <c r="F44" s="75" t="str">
        <f t="shared" si="1"/>
        <v>PASS</v>
      </c>
      <c r="G44" s="33" t="s">
        <v>922</v>
      </c>
    </row>
    <row r="45" spans="2:7">
      <c r="B45" s="27" t="s">
        <v>939</v>
      </c>
      <c r="C45" s="79">
        <v>5500.5309340000003</v>
      </c>
      <c r="D45" s="80">
        <f>'S2 Pit service'!V222</f>
        <v>5500.5309335001775</v>
      </c>
      <c r="E45" s="72">
        <v>0.01</v>
      </c>
      <c r="F45" s="75" t="str">
        <f t="shared" si="1"/>
        <v>PASS</v>
      </c>
      <c r="G45" s="33" t="s">
        <v>922</v>
      </c>
    </row>
    <row r="46" spans="2:7">
      <c r="B46" s="27" t="s">
        <v>940</v>
      </c>
      <c r="C46" s="79">
        <v>3181.2</v>
      </c>
      <c r="D46" s="80">
        <f>'S2 Pit service'!V240</f>
        <v>3181.2</v>
      </c>
      <c r="E46" s="72">
        <v>0.01</v>
      </c>
      <c r="F46" s="75" t="str">
        <f t="shared" si="1"/>
        <v>PASS</v>
      </c>
      <c r="G46" s="33" t="s">
        <v>922</v>
      </c>
    </row>
    <row r="47" spans="2:7">
      <c r="B47" s="27" t="s">
        <v>941</v>
      </c>
      <c r="C47" s="79">
        <v>54746.928872999997</v>
      </c>
      <c r="D47" s="80">
        <f>'S2 Pit service'!V244</f>
        <v>54746.92887275172</v>
      </c>
      <c r="E47" s="72">
        <v>0.01</v>
      </c>
      <c r="F47" s="75" t="str">
        <f t="shared" si="1"/>
        <v>PASS</v>
      </c>
      <c r="G47" s="33" t="s">
        <v>922</v>
      </c>
    </row>
    <row r="48" spans="2:7">
      <c r="B48" s="27" t="s">
        <v>942</v>
      </c>
      <c r="C48" s="79">
        <v>54746.928872999997</v>
      </c>
      <c r="D48" s="80">
        <f>'S2 Pit service'!F7</f>
        <v>54746.92887275172</v>
      </c>
      <c r="E48" s="72">
        <v>0.01</v>
      </c>
      <c r="F48" s="75" t="str">
        <f t="shared" si="1"/>
        <v>PASS</v>
      </c>
      <c r="G48" s="33" t="s">
        <v>922</v>
      </c>
    </row>
    <row r="49" spans="2:7">
      <c r="B49" s="27" t="s">
        <v>943</v>
      </c>
      <c r="C49" s="79">
        <v>4618.1667889999999</v>
      </c>
      <c r="D49" s="80">
        <f>'S2 Pit service'!H243</f>
        <v>4618.1667886739979</v>
      </c>
      <c r="E49" s="72">
        <v>1E-3</v>
      </c>
      <c r="F49" s="75" t="str">
        <f t="shared" si="1"/>
        <v>PASS</v>
      </c>
      <c r="G49" s="33" t="s">
        <v>922</v>
      </c>
    </row>
    <row r="50" spans="2:7">
      <c r="B50" s="27" t="s">
        <v>944</v>
      </c>
      <c r="C50" s="74">
        <v>0.8</v>
      </c>
      <c r="D50" s="45">
        <f>'S2M Pit measured'!G80</f>
        <v>0.8</v>
      </c>
      <c r="E50" s="72">
        <v>9.9999999999999995E-7</v>
      </c>
      <c r="F50" s="75" t="str">
        <f t="shared" si="1"/>
        <v>PASS</v>
      </c>
      <c r="G50" s="33" t="s">
        <v>922</v>
      </c>
    </row>
    <row r="51" spans="2:7">
      <c r="B51" s="27" t="s">
        <v>945</v>
      </c>
      <c r="C51" s="74">
        <v>0.75966800000000001</v>
      </c>
      <c r="D51" s="45">
        <f>'S2M Pit measured'!G83</f>
        <v>0.75966831388682854</v>
      </c>
      <c r="E51" s="72">
        <v>9.9999999999999995E-7</v>
      </c>
      <c r="F51" s="75" t="str">
        <f t="shared" si="1"/>
        <v>PASS</v>
      </c>
      <c r="G51" s="33" t="s">
        <v>922</v>
      </c>
    </row>
    <row r="52" spans="2:7">
      <c r="B52" s="27" t="s">
        <v>946</v>
      </c>
      <c r="C52" s="72">
        <v>365</v>
      </c>
      <c r="D52" s="48">
        <f>'S2M Pit measured'!G120</f>
        <v>365</v>
      </c>
      <c r="E52" s="72">
        <v>0</v>
      </c>
      <c r="F52" s="75" t="str">
        <f t="shared" si="1"/>
        <v>PASS</v>
      </c>
      <c r="G52" s="33" t="s">
        <v>922</v>
      </c>
    </row>
    <row r="53" spans="2:7">
      <c r="B53" s="27" t="s">
        <v>947</v>
      </c>
      <c r="C53" s="79">
        <v>128832.61440000001</v>
      </c>
      <c r="D53" s="80">
        <f>'S2M Pit measured'!V195</f>
        <v>128832.61439999999</v>
      </c>
      <c r="E53" s="72">
        <v>0.01</v>
      </c>
      <c r="F53" s="75" t="str">
        <f t="shared" si="1"/>
        <v>PASS</v>
      </c>
      <c r="G53" s="33" t="s">
        <v>922</v>
      </c>
    </row>
    <row r="54" spans="2:7">
      <c r="B54" s="27" t="s">
        <v>948</v>
      </c>
      <c r="C54" s="79">
        <v>83192.513686000006</v>
      </c>
      <c r="D54" s="80">
        <f>'S2M Pit measured'!V202</f>
        <v>83192.513686315608</v>
      </c>
      <c r="E54" s="72">
        <v>0.01</v>
      </c>
      <c r="F54" s="75" t="str">
        <f t="shared" si="1"/>
        <v>PASS</v>
      </c>
      <c r="G54" s="33" t="s">
        <v>922</v>
      </c>
    </row>
    <row r="55" spans="2:7">
      <c r="B55" s="27" t="s">
        <v>949</v>
      </c>
      <c r="C55" s="79">
        <v>2701.107982</v>
      </c>
      <c r="D55" s="80">
        <f>'S2M Pit measured'!V203</f>
        <v>2701.1079822701422</v>
      </c>
      <c r="E55" s="72">
        <v>0.01</v>
      </c>
      <c r="F55" s="75" t="str">
        <f t="shared" si="1"/>
        <v>PASS</v>
      </c>
      <c r="G55" s="33" t="s">
        <v>922</v>
      </c>
    </row>
    <row r="56" spans="2:7">
      <c r="B56" s="27" t="s">
        <v>950</v>
      </c>
      <c r="C56" s="79">
        <v>5854.4542110000002</v>
      </c>
      <c r="D56" s="80">
        <f>'S2M Pit measured'!V222</f>
        <v>5854.454210522571</v>
      </c>
      <c r="E56" s="72">
        <v>0.01</v>
      </c>
      <c r="F56" s="75" t="str">
        <f t="shared" si="1"/>
        <v>PASS</v>
      </c>
      <c r="G56" s="33" t="s">
        <v>922</v>
      </c>
    </row>
    <row r="57" spans="2:7">
      <c r="B57" s="27" t="s">
        <v>951</v>
      </c>
      <c r="C57" s="79">
        <v>3181.2</v>
      </c>
      <c r="D57" s="80">
        <f>'S2M Pit measured'!V240</f>
        <v>3181.2</v>
      </c>
      <c r="E57" s="72">
        <v>0.01</v>
      </c>
      <c r="F57" s="75" t="str">
        <f t="shared" si="1"/>
        <v>PASS</v>
      </c>
      <c r="G57" s="33" t="s">
        <v>922</v>
      </c>
    </row>
    <row r="58" spans="2:7">
      <c r="B58" s="27" t="s">
        <v>952</v>
      </c>
      <c r="C58" s="79">
        <v>74156.859475999998</v>
      </c>
      <c r="D58" s="80">
        <f>'S2M Pit measured'!V244</f>
        <v>74156.859475793026</v>
      </c>
      <c r="E58" s="72">
        <v>0.01</v>
      </c>
      <c r="F58" s="75" t="str">
        <f t="shared" si="1"/>
        <v>PASS</v>
      </c>
      <c r="G58" s="33" t="s">
        <v>922</v>
      </c>
    </row>
    <row r="59" spans="2:7">
      <c r="B59" s="27" t="s">
        <v>953</v>
      </c>
      <c r="C59" s="79">
        <v>74156.859475999998</v>
      </c>
      <c r="D59" s="80">
        <f>'S2M Pit measured'!F7</f>
        <v>74156.859475793026</v>
      </c>
      <c r="E59" s="72">
        <v>0.01</v>
      </c>
      <c r="F59" s="75" t="str">
        <f t="shared" si="1"/>
        <v>PASS</v>
      </c>
      <c r="G59" s="33" t="s">
        <v>922</v>
      </c>
    </row>
    <row r="60" spans="2:7">
      <c r="B60" s="27" t="s">
        <v>954</v>
      </c>
      <c r="C60" s="79">
        <v>6311.0164299999997</v>
      </c>
      <c r="D60" s="80">
        <f>'S2M Pit measured'!H243</f>
        <v>6311.0164297116162</v>
      </c>
      <c r="E60" s="72">
        <v>1E-3</v>
      </c>
      <c r="F60" s="75" t="str">
        <f t="shared" ref="F60:F91" si="2">IF(ABS(D60-C60)&lt;=E60,"PASS","FAIL")</f>
        <v>PASS</v>
      </c>
      <c r="G60" s="33" t="s">
        <v>922</v>
      </c>
    </row>
    <row r="61" spans="2:7">
      <c r="B61" s="27" t="s">
        <v>955</v>
      </c>
      <c r="C61" s="74">
        <v>0.55000000000000004</v>
      </c>
      <c r="D61" s="45">
        <f>'S3 Septic-AD'!G80</f>
        <v>0.55000000000000004</v>
      </c>
      <c r="E61" s="72">
        <v>9.9999999999999995E-7</v>
      </c>
      <c r="F61" s="75" t="str">
        <f t="shared" si="2"/>
        <v>PASS</v>
      </c>
      <c r="G61" s="33" t="s">
        <v>922</v>
      </c>
    </row>
    <row r="62" spans="2:7">
      <c r="B62" s="27" t="s">
        <v>956</v>
      </c>
      <c r="C62" s="74">
        <v>0.67</v>
      </c>
      <c r="D62" s="45">
        <f>'S3 Septic-AD'!G83</f>
        <v>0.67</v>
      </c>
      <c r="E62" s="72">
        <v>9.9999999999999995E-7</v>
      </c>
      <c r="F62" s="75" t="str">
        <f t="shared" si="2"/>
        <v>PASS</v>
      </c>
      <c r="G62" s="33" t="s">
        <v>922</v>
      </c>
    </row>
    <row r="63" spans="2:7">
      <c r="B63" s="27" t="s">
        <v>957</v>
      </c>
      <c r="C63" s="72">
        <v>365</v>
      </c>
      <c r="D63" s="48">
        <f>'S3 Septic-AD'!G120</f>
        <v>365</v>
      </c>
      <c r="E63" s="72">
        <v>0</v>
      </c>
      <c r="F63" s="75" t="str">
        <f t="shared" si="2"/>
        <v>PASS</v>
      </c>
      <c r="G63" s="33" t="s">
        <v>922</v>
      </c>
    </row>
    <row r="64" spans="2:7">
      <c r="B64" s="27" t="s">
        <v>958</v>
      </c>
      <c r="C64" s="79">
        <v>166273.26407999999</v>
      </c>
      <c r="D64" s="80">
        <f>'S3 Septic-AD'!V195</f>
        <v>166273.26408000002</v>
      </c>
      <c r="E64" s="72">
        <v>0.01</v>
      </c>
      <c r="F64" s="75" t="str">
        <f t="shared" si="2"/>
        <v>PASS</v>
      </c>
      <c r="G64" s="33" t="s">
        <v>922</v>
      </c>
    </row>
    <row r="65" spans="2:7">
      <c r="B65" s="27" t="s">
        <v>959</v>
      </c>
      <c r="C65" s="79">
        <v>94713.944090000005</v>
      </c>
      <c r="D65" s="80">
        <f>'S3 Septic-AD'!V202</f>
        <v>94713.944089927638</v>
      </c>
      <c r="E65" s="72">
        <v>0.01</v>
      </c>
      <c r="F65" s="75" t="str">
        <f t="shared" si="2"/>
        <v>PASS</v>
      </c>
      <c r="G65" s="33" t="s">
        <v>922</v>
      </c>
    </row>
    <row r="66" spans="2:7">
      <c r="B66" s="27" t="s">
        <v>960</v>
      </c>
      <c r="C66" s="79">
        <v>2214.4748380000001</v>
      </c>
      <c r="D66" s="80">
        <f>'S3 Septic-AD'!V203</f>
        <v>2214.4748376643161</v>
      </c>
      <c r="E66" s="72">
        <v>0.01</v>
      </c>
      <c r="F66" s="75" t="str">
        <f t="shared" si="2"/>
        <v>PASS</v>
      </c>
      <c r="G66" s="33" t="s">
        <v>922</v>
      </c>
    </row>
    <row r="67" spans="2:7">
      <c r="B67" s="27" t="s">
        <v>961</v>
      </c>
      <c r="C67" s="79">
        <v>12543.405312999999</v>
      </c>
      <c r="D67" s="80">
        <f>'S3 Septic-AD'!V222</f>
        <v>12543.4053130706</v>
      </c>
      <c r="E67" s="72">
        <v>0.01</v>
      </c>
      <c r="F67" s="75" t="str">
        <f t="shared" si="2"/>
        <v>PASS</v>
      </c>
      <c r="G67" s="33" t="s">
        <v>922</v>
      </c>
    </row>
    <row r="68" spans="2:7">
      <c r="B68" s="27" t="s">
        <v>962</v>
      </c>
      <c r="C68" s="79">
        <v>23255.660699</v>
      </c>
      <c r="D68" s="80">
        <f>'S3 Septic-AD'!V240</f>
        <v>23255.660698600001</v>
      </c>
      <c r="E68" s="72">
        <v>0.01</v>
      </c>
      <c r="F68" s="75" t="str">
        <f t="shared" si="2"/>
        <v>PASS</v>
      </c>
      <c r="G68" s="33" t="s">
        <v>922</v>
      </c>
    </row>
    <row r="69" spans="2:7">
      <c r="B69" s="27" t="s">
        <v>963</v>
      </c>
      <c r="C69" s="79">
        <v>58914.878078000002</v>
      </c>
      <c r="D69" s="80">
        <f>'S3 Septic-AD'!V244</f>
        <v>58914.878078257025</v>
      </c>
      <c r="E69" s="72">
        <v>0.01</v>
      </c>
      <c r="F69" s="75" t="str">
        <f t="shared" si="2"/>
        <v>PASS</v>
      </c>
      <c r="G69" s="33" t="s">
        <v>922</v>
      </c>
    </row>
    <row r="70" spans="2:7">
      <c r="B70" s="27" t="s">
        <v>964</v>
      </c>
      <c r="C70" s="79">
        <v>37112.215455999998</v>
      </c>
      <c r="D70" s="80">
        <f>'S3 Septic-AD'!F7</f>
        <v>37112.215455646685</v>
      </c>
      <c r="E70" s="72">
        <v>0.01</v>
      </c>
      <c r="F70" s="75" t="str">
        <f t="shared" si="2"/>
        <v>PASS</v>
      </c>
      <c r="G70" s="33" t="s">
        <v>922</v>
      </c>
    </row>
    <row r="71" spans="2:7">
      <c r="B71" s="27" t="s">
        <v>965</v>
      </c>
      <c r="C71" s="79">
        <v>2290.3134540000001</v>
      </c>
      <c r="D71" s="80">
        <f>'S3 Septic-AD'!H243</f>
        <v>2290.3134544564118</v>
      </c>
      <c r="E71" s="72">
        <v>1E-3</v>
      </c>
      <c r="F71" s="75" t="str">
        <f t="shared" si="2"/>
        <v>PASS</v>
      </c>
      <c r="G71" s="33" t="s">
        <v>922</v>
      </c>
    </row>
    <row r="72" spans="2:7">
      <c r="B72" s="27" t="s">
        <v>966</v>
      </c>
      <c r="C72" s="74">
        <v>0.44412499999999999</v>
      </c>
      <c r="D72" s="45">
        <f>'S4 Mixed urban'!G80</f>
        <v>0.44412499999999999</v>
      </c>
      <c r="E72" s="72">
        <v>9.9999999999999995E-7</v>
      </c>
      <c r="F72" s="75" t="str">
        <f t="shared" si="2"/>
        <v>PASS</v>
      </c>
      <c r="G72" s="33" t="s">
        <v>922</v>
      </c>
    </row>
    <row r="73" spans="2:7">
      <c r="B73" s="27" t="s">
        <v>967</v>
      </c>
      <c r="C73" s="74">
        <v>0.56999999999999995</v>
      </c>
      <c r="D73" s="45">
        <f>'S4 Mixed urban'!G83</f>
        <v>0.56999999999999995</v>
      </c>
      <c r="E73" s="72">
        <v>9.9999999999999995E-7</v>
      </c>
      <c r="F73" s="75" t="str">
        <f t="shared" si="2"/>
        <v>PASS</v>
      </c>
      <c r="G73" s="33" t="s">
        <v>922</v>
      </c>
    </row>
    <row r="74" spans="2:7">
      <c r="B74" s="27" t="s">
        <v>968</v>
      </c>
      <c r="C74" s="72">
        <v>365</v>
      </c>
      <c r="D74" s="48">
        <f>'S4 Mixed urban'!G120</f>
        <v>365</v>
      </c>
      <c r="E74" s="72">
        <v>0</v>
      </c>
      <c r="F74" s="75" t="str">
        <f t="shared" si="2"/>
        <v>PASS</v>
      </c>
      <c r="G74" s="33" t="s">
        <v>922</v>
      </c>
    </row>
    <row r="75" spans="2:7">
      <c r="B75" s="27" t="s">
        <v>969</v>
      </c>
      <c r="C75" s="79">
        <v>295470.13708000001</v>
      </c>
      <c r="D75" s="80">
        <f>'S4 Mixed urban'!V195</f>
        <v>295470.13707960001</v>
      </c>
      <c r="E75" s="72">
        <v>0.01</v>
      </c>
      <c r="F75" s="75" t="str">
        <f t="shared" si="2"/>
        <v>PASS</v>
      </c>
      <c r="G75" s="33" t="s">
        <v>922</v>
      </c>
    </row>
    <row r="76" spans="2:7">
      <c r="B76" s="27" t="s">
        <v>970</v>
      </c>
      <c r="C76" s="79">
        <v>151527.22836800001</v>
      </c>
      <c r="D76" s="80">
        <f>'S4 Mixed urban'!V202</f>
        <v>151527.22836834088</v>
      </c>
      <c r="E76" s="72">
        <v>0.01</v>
      </c>
      <c r="F76" s="75" t="str">
        <f t="shared" si="2"/>
        <v>PASS</v>
      </c>
      <c r="G76" s="33" t="s">
        <v>922</v>
      </c>
    </row>
    <row r="77" spans="2:7">
      <c r="B77" s="27" t="s">
        <v>971</v>
      </c>
      <c r="C77" s="79">
        <v>3650.8107759999998</v>
      </c>
      <c r="D77" s="80">
        <f>'S4 Mixed urban'!V203</f>
        <v>3650.8107758684673</v>
      </c>
      <c r="E77" s="72">
        <v>0.01</v>
      </c>
      <c r="F77" s="75" t="str">
        <f t="shared" si="2"/>
        <v>PASS</v>
      </c>
      <c r="G77" s="33" t="s">
        <v>922</v>
      </c>
    </row>
    <row r="78" spans="2:7">
      <c r="B78" s="27" t="s">
        <v>972</v>
      </c>
      <c r="C78" s="79">
        <v>33011.448990999997</v>
      </c>
      <c r="D78" s="80">
        <f>'S4 Mixed urban'!V222</f>
        <v>33011.44899120208</v>
      </c>
      <c r="E78" s="72">
        <v>0.01</v>
      </c>
      <c r="F78" s="75" t="str">
        <f t="shared" si="2"/>
        <v>PASS</v>
      </c>
      <c r="G78" s="33" t="s">
        <v>922</v>
      </c>
    </row>
    <row r="79" spans="2:7">
      <c r="B79" s="27" t="s">
        <v>973</v>
      </c>
      <c r="C79" s="79">
        <v>6006.6</v>
      </c>
      <c r="D79" s="80">
        <f>'S4 Mixed urban'!V240</f>
        <v>6006.6</v>
      </c>
      <c r="E79" s="72">
        <v>0.01</v>
      </c>
      <c r="F79" s="75" t="str">
        <f t="shared" si="2"/>
        <v>PASS</v>
      </c>
      <c r="G79" s="33" t="s">
        <v>922</v>
      </c>
    </row>
    <row r="80" spans="2:7">
      <c r="B80" s="27" t="s">
        <v>974</v>
      </c>
      <c r="C80" s="79">
        <v>112509.17937699999</v>
      </c>
      <c r="D80" s="80">
        <f>'S4 Mixed urban'!V244</f>
        <v>112509.17937713875</v>
      </c>
      <c r="E80" s="72">
        <v>0.01</v>
      </c>
      <c r="F80" s="75" t="str">
        <f t="shared" si="2"/>
        <v>PASS</v>
      </c>
      <c r="G80" s="33" t="s">
        <v>922</v>
      </c>
    </row>
    <row r="81" spans="2:7">
      <c r="B81" s="27" t="s">
        <v>975</v>
      </c>
      <c r="C81" s="79">
        <v>92038.893603999997</v>
      </c>
      <c r="D81" s="80">
        <f>'S4 Mixed urban'!F7</f>
        <v>92038.893604291239</v>
      </c>
      <c r="E81" s="72">
        <v>0.01</v>
      </c>
      <c r="F81" s="75" t="str">
        <f t="shared" si="2"/>
        <v>PASS</v>
      </c>
      <c r="G81" s="33" t="s">
        <v>922</v>
      </c>
    </row>
    <row r="82" spans="2:7">
      <c r="B82" s="27" t="s">
        <v>976</v>
      </c>
      <c r="C82" s="79">
        <v>7695.6335150000004</v>
      </c>
      <c r="D82" s="80">
        <f>'S4 Mixed urban'!H243</f>
        <v>7695.6335150379109</v>
      </c>
      <c r="E82" s="72">
        <v>1E-3</v>
      </c>
      <c r="F82" s="75" t="str">
        <f t="shared" si="2"/>
        <v>PASS</v>
      </c>
      <c r="G82" s="33" t="s">
        <v>922</v>
      </c>
    </row>
    <row r="83" spans="2:7">
      <c r="B83" s="27" t="s">
        <v>977</v>
      </c>
      <c r="C83" s="74">
        <v>0.44412499999999999</v>
      </c>
      <c r="D83" s="45">
        <f>'S4M Mixed measured'!G80</f>
        <v>0.44412499999999999</v>
      </c>
      <c r="E83" s="72">
        <v>9.9999999999999995E-7</v>
      </c>
      <c r="F83" s="75" t="str">
        <f t="shared" si="2"/>
        <v>PASS</v>
      </c>
      <c r="G83" s="33" t="s">
        <v>922</v>
      </c>
    </row>
    <row r="84" spans="2:7">
      <c r="B84" s="27" t="s">
        <v>978</v>
      </c>
      <c r="C84" s="74">
        <v>0.692299</v>
      </c>
      <c r="D84" s="45">
        <f>'S4M Mixed measured'!G83</f>
        <v>0.69229915337032233</v>
      </c>
      <c r="E84" s="72">
        <v>9.9999999999999995E-7</v>
      </c>
      <c r="F84" s="75" t="str">
        <f t="shared" si="2"/>
        <v>PASS</v>
      </c>
      <c r="G84" s="33" t="s">
        <v>922</v>
      </c>
    </row>
    <row r="85" spans="2:7">
      <c r="B85" s="27" t="s">
        <v>979</v>
      </c>
      <c r="C85" s="72">
        <v>365</v>
      </c>
      <c r="D85" s="48">
        <f>'S4M Mixed measured'!G120</f>
        <v>365</v>
      </c>
      <c r="E85" s="72">
        <v>0</v>
      </c>
      <c r="F85" s="75" t="str">
        <f t="shared" si="2"/>
        <v>PASS</v>
      </c>
      <c r="G85" s="33" t="s">
        <v>922</v>
      </c>
    </row>
    <row r="86" spans="2:7">
      <c r="B86" s="27" t="s">
        <v>980</v>
      </c>
      <c r="C86" s="79">
        <v>329654.08659999998</v>
      </c>
      <c r="D86" s="80">
        <f>'S4M Mixed measured'!V195</f>
        <v>329654.08659960004</v>
      </c>
      <c r="E86" s="72">
        <v>0.01</v>
      </c>
      <c r="F86" s="75" t="str">
        <f t="shared" si="2"/>
        <v>PASS</v>
      </c>
      <c r="G86" s="33" t="s">
        <v>922</v>
      </c>
    </row>
    <row r="87" spans="2:7">
      <c r="B87" s="27" t="s">
        <v>981</v>
      </c>
      <c r="C87" s="79">
        <v>193957.78472699999</v>
      </c>
      <c r="D87" s="80">
        <f>'S4M Mixed measured'!V202</f>
        <v>193957.78472654603</v>
      </c>
      <c r="E87" s="72">
        <v>0.01</v>
      </c>
      <c r="F87" s="75" t="str">
        <f t="shared" si="2"/>
        <v>PASS</v>
      </c>
      <c r="G87" s="33" t="s">
        <v>922</v>
      </c>
    </row>
    <row r="88" spans="2:7">
      <c r="B88" s="27" t="s">
        <v>982</v>
      </c>
      <c r="C88" s="79">
        <v>4673.224784</v>
      </c>
      <c r="D88" s="80">
        <f>'S4M Mixed measured'!V203</f>
        <v>4673.224784166714</v>
      </c>
      <c r="E88" s="72">
        <v>0.01</v>
      </c>
      <c r="F88" s="75" t="str">
        <f t="shared" si="2"/>
        <v>PASS</v>
      </c>
      <c r="G88" s="33" t="s">
        <v>922</v>
      </c>
    </row>
    <row r="89" spans="2:7">
      <c r="B89" s="27" t="s">
        <v>983</v>
      </c>
      <c r="C89" s="79">
        <v>28620.848990999999</v>
      </c>
      <c r="D89" s="80">
        <f>'S4M Mixed measured'!V222</f>
        <v>28620.848991202081</v>
      </c>
      <c r="E89" s="72">
        <v>0.01</v>
      </c>
      <c r="F89" s="75" t="str">
        <f t="shared" si="2"/>
        <v>PASS</v>
      </c>
      <c r="G89" s="33" t="s">
        <v>922</v>
      </c>
    </row>
    <row r="90" spans="2:7">
      <c r="B90" s="27" t="s">
        <v>984</v>
      </c>
      <c r="C90" s="79">
        <v>6006.6</v>
      </c>
      <c r="D90" s="80">
        <f>'S4M Mixed measured'!V240</f>
        <v>6006.6</v>
      </c>
      <c r="E90" s="72">
        <v>0.01</v>
      </c>
      <c r="F90" s="75" t="str">
        <f t="shared" si="2"/>
        <v>PASS</v>
      </c>
      <c r="G90" s="33" t="s">
        <v>922</v>
      </c>
    </row>
    <row r="91" spans="2:7">
      <c r="B91" s="27" t="s">
        <v>985</v>
      </c>
      <c r="C91" s="79">
        <v>159330.335735</v>
      </c>
      <c r="D91" s="80">
        <f>'S4M Mixed measured'!V244</f>
        <v>159330.33573534398</v>
      </c>
      <c r="E91" s="72">
        <v>0.01</v>
      </c>
      <c r="F91" s="75" t="str">
        <f t="shared" si="2"/>
        <v>PASS</v>
      </c>
      <c r="G91" s="33" t="s">
        <v>922</v>
      </c>
    </row>
    <row r="92" spans="2:7">
      <c r="B92" s="27" t="s">
        <v>986</v>
      </c>
      <c r="C92" s="79">
        <v>130755.36834099999</v>
      </c>
      <c r="D92" s="80">
        <f>'S4M Mixed measured'!F7</f>
        <v>130755.36834063972</v>
      </c>
      <c r="E92" s="72">
        <v>0.01</v>
      </c>
      <c r="F92" s="75" t="str">
        <f t="shared" ref="F92:F106" si="3">IF(ABS(D92-C92)&lt;=E92,"PASS","FAIL")</f>
        <v>PASS</v>
      </c>
      <c r="G92" s="33" t="s">
        <v>922</v>
      </c>
    </row>
    <row r="93" spans="2:7">
      <c r="B93" s="27" t="s">
        <v>987</v>
      </c>
      <c r="C93" s="79">
        <v>11240.885914</v>
      </c>
      <c r="D93" s="80">
        <f>'S4M Mixed measured'!H243</f>
        <v>11240.885913563741</v>
      </c>
      <c r="E93" s="72">
        <v>1E-3</v>
      </c>
      <c r="F93" s="75" t="str">
        <f t="shared" si="3"/>
        <v>PASS</v>
      </c>
      <c r="G93" s="33" t="s">
        <v>922</v>
      </c>
    </row>
    <row r="94" spans="2:7">
      <c r="B94" s="27" t="s">
        <v>988</v>
      </c>
      <c r="C94" s="74">
        <v>0.5</v>
      </c>
      <c r="D94" s="45">
        <f>'S5 Refugee camp'!G80</f>
        <v>0.5</v>
      </c>
      <c r="E94" s="72">
        <v>9.9999999999999995E-7</v>
      </c>
      <c r="F94" s="75" t="str">
        <f t="shared" si="3"/>
        <v>PASS</v>
      </c>
      <c r="G94" s="33" t="s">
        <v>922</v>
      </c>
    </row>
    <row r="95" spans="2:7">
      <c r="B95" s="27" t="s">
        <v>989</v>
      </c>
      <c r="C95" s="74">
        <v>0.69</v>
      </c>
      <c r="D95" s="45">
        <f>'S5 Refugee camp'!G83</f>
        <v>0.69</v>
      </c>
      <c r="E95" s="72">
        <v>9.9999999999999995E-7</v>
      </c>
      <c r="F95" s="75" t="str">
        <f t="shared" si="3"/>
        <v>PASS</v>
      </c>
      <c r="G95" s="33" t="s">
        <v>922</v>
      </c>
    </row>
    <row r="96" spans="2:7">
      <c r="B96" s="27" t="s">
        <v>990</v>
      </c>
      <c r="C96" s="72">
        <v>365</v>
      </c>
      <c r="D96" s="48">
        <f>'S5 Refugee camp'!G120</f>
        <v>365</v>
      </c>
      <c r="E96" s="72">
        <v>0</v>
      </c>
      <c r="F96" s="75" t="str">
        <f t="shared" si="3"/>
        <v>PASS</v>
      </c>
      <c r="G96" s="33" t="s">
        <v>922</v>
      </c>
    </row>
    <row r="97" spans="2:7">
      <c r="B97" s="27" t="s">
        <v>991</v>
      </c>
      <c r="C97" s="79">
        <v>17874.135291999999</v>
      </c>
      <c r="D97" s="80">
        <f>'S5 Refugee camp'!V195</f>
        <v>17874.135291599996</v>
      </c>
      <c r="E97" s="72">
        <v>0.01</v>
      </c>
      <c r="F97" s="75" t="str">
        <f t="shared" si="3"/>
        <v>PASS</v>
      </c>
      <c r="G97" s="33" t="s">
        <v>922</v>
      </c>
    </row>
    <row r="98" spans="2:7">
      <c r="B98" s="27" t="s">
        <v>992</v>
      </c>
      <c r="C98" s="79">
        <v>10106.059175</v>
      </c>
      <c r="D98" s="80">
        <f>'S5 Refugee camp'!V202</f>
        <v>10106.059175330076</v>
      </c>
      <c r="E98" s="72">
        <v>0.01</v>
      </c>
      <c r="F98" s="75" t="str">
        <f t="shared" si="3"/>
        <v>PASS</v>
      </c>
      <c r="G98" s="33" t="s">
        <v>922</v>
      </c>
    </row>
    <row r="99" spans="2:7">
      <c r="B99" s="27" t="s">
        <v>993</v>
      </c>
      <c r="C99" s="79">
        <v>335.973525</v>
      </c>
      <c r="D99" s="80">
        <f>'S5 Refugee camp'!V203</f>
        <v>335.97352517060438</v>
      </c>
      <c r="E99" s="72">
        <v>0.01</v>
      </c>
      <c r="F99" s="75" t="str">
        <f t="shared" si="3"/>
        <v>PASS</v>
      </c>
      <c r="G99" s="33" t="s">
        <v>922</v>
      </c>
    </row>
    <row r="100" spans="2:7">
      <c r="B100" s="27" t="s">
        <v>994</v>
      </c>
      <c r="C100" s="79">
        <v>1444.3397150000001</v>
      </c>
      <c r="D100" s="80">
        <f>'S5 Refugee camp'!V222</f>
        <v>1444.3397151735367</v>
      </c>
      <c r="E100" s="72">
        <v>0.01</v>
      </c>
      <c r="F100" s="75" t="str">
        <f t="shared" si="3"/>
        <v>PASS</v>
      </c>
      <c r="G100" s="33" t="s">
        <v>922</v>
      </c>
    </row>
    <row r="101" spans="2:7">
      <c r="B101" s="27" t="s">
        <v>995</v>
      </c>
      <c r="C101" s="79">
        <v>1338.5</v>
      </c>
      <c r="D101" s="80">
        <f>'S5 Refugee camp'!V240</f>
        <v>1338.5</v>
      </c>
      <c r="E101" s="72">
        <v>0.01</v>
      </c>
      <c r="F101" s="75" t="str">
        <f t="shared" si="3"/>
        <v>PASS</v>
      </c>
      <c r="G101" s="33" t="s">
        <v>922</v>
      </c>
    </row>
    <row r="102" spans="2:7">
      <c r="B102" s="27" t="s">
        <v>996</v>
      </c>
      <c r="C102" s="79">
        <v>7323.2194600000003</v>
      </c>
      <c r="D102" s="80">
        <f>'S5 Refugee camp'!V244</f>
        <v>7323.2194601565407</v>
      </c>
      <c r="E102" s="72">
        <v>0.01</v>
      </c>
      <c r="F102" s="75" t="str">
        <f t="shared" si="3"/>
        <v>PASS</v>
      </c>
      <c r="G102" s="33" t="s">
        <v>922</v>
      </c>
    </row>
    <row r="103" spans="2:7">
      <c r="B103" s="27" t="s">
        <v>997</v>
      </c>
      <c r="C103" s="79">
        <v>7323.2194600000003</v>
      </c>
      <c r="D103" s="80">
        <f>'S5 Refugee camp'!F7</f>
        <v>7323.2194601565407</v>
      </c>
      <c r="E103" s="72">
        <v>0.01</v>
      </c>
      <c r="F103" s="75" t="str">
        <f t="shared" si="3"/>
        <v>PASS</v>
      </c>
      <c r="G103" s="33" t="s">
        <v>922</v>
      </c>
    </row>
    <row r="104" spans="2:7">
      <c r="B104" s="27" t="s">
        <v>998</v>
      </c>
      <c r="C104" s="79">
        <v>721.63663699999995</v>
      </c>
      <c r="D104" s="80">
        <f>'S5 Refugee camp'!H243</f>
        <v>721.63663677917384</v>
      </c>
      <c r="E104" s="72">
        <v>1E-3</v>
      </c>
      <c r="F104" s="75" t="str">
        <f t="shared" si="3"/>
        <v>PASS</v>
      </c>
      <c r="G104" s="33" t="s">
        <v>922</v>
      </c>
    </row>
    <row r="105" spans="2:7">
      <c r="B105" s="27" t="s">
        <v>999</v>
      </c>
      <c r="C105" s="79">
        <v>5.1129860000000003</v>
      </c>
      <c r="D105" s="80">
        <f>'S5 Refugee camp'!N234</f>
        <v>5.1129863013699168</v>
      </c>
      <c r="E105" s="72">
        <v>1E-3</v>
      </c>
      <c r="F105" s="75" t="str">
        <f t="shared" si="3"/>
        <v>PASS</v>
      </c>
      <c r="G105" s="33" t="s">
        <v>922</v>
      </c>
    </row>
    <row r="106" spans="2:7" ht="22.5">
      <c r="B106" s="27" t="s">
        <v>1000</v>
      </c>
      <c r="C106" s="80">
        <f>SUMPRODUCT(('S3 Septic-AD'!G101:N101&lt;&gt;"Tier 1")*('S3 Septic-AD'!G101:N101&lt;&gt;"")*'S3 Septic-AD'!G107:N107)</f>
        <v>1342</v>
      </c>
      <c r="D106" s="80">
        <f>'S3 Septic-AD'!V233</f>
        <v>1342.0000000000005</v>
      </c>
      <c r="E106" s="72">
        <v>1E-3</v>
      </c>
      <c r="F106" s="75" t="str">
        <f t="shared" si="3"/>
        <v>PASS</v>
      </c>
      <c r="G106" s="33" t="s">
        <v>1001</v>
      </c>
    </row>
    <row r="108" spans="2:7" ht="20.100000000000001" customHeight="1">
      <c r="B108" s="20" t="s">
        <v>1002</v>
      </c>
      <c r="C108" s="20"/>
      <c r="D108" s="20"/>
      <c r="E108" s="20"/>
      <c r="F108" s="20"/>
      <c r="G108" s="20"/>
    </row>
    <row r="109" spans="2:7">
      <c r="B109" s="25" t="s">
        <v>890</v>
      </c>
      <c r="C109" s="25" t="s">
        <v>891</v>
      </c>
      <c r="D109" s="25" t="s">
        <v>892</v>
      </c>
      <c r="E109" s="25" t="s">
        <v>893</v>
      </c>
      <c r="F109" s="25" t="s">
        <v>286</v>
      </c>
      <c r="G109" s="25" t="s">
        <v>894</v>
      </c>
    </row>
    <row r="110" spans="2:7">
      <c r="B110" s="27" t="s">
        <v>1003</v>
      </c>
      <c r="C110" s="79">
        <v>0</v>
      </c>
      <c r="D110" s="80">
        <f>MIN(0,MIN('S1 CBS-OD'!$G$244:$U$244))</f>
        <v>0</v>
      </c>
      <c r="E110" s="72">
        <v>0</v>
      </c>
      <c r="F110" s="75" t="str">
        <f t="shared" ref="F110:F151" si="4">IF(ABS(D110-C110)&lt;=E110,"PASS","FAIL")</f>
        <v>PASS</v>
      </c>
      <c r="G110" s="33" t="s">
        <v>722</v>
      </c>
    </row>
    <row r="111" spans="2:7" ht="22.5">
      <c r="B111" s="27" t="s">
        <v>1004</v>
      </c>
      <c r="C111" s="72">
        <v>0</v>
      </c>
      <c r="D111" s="48">
        <f>SUMPRODUCT(('S1 CBS-OD'!$G$199:$U$199&gt;'S1 CBS-OD'!$G$198:$U$198+0.000001)*1)</f>
        <v>0</v>
      </c>
      <c r="E111" s="72">
        <v>0</v>
      </c>
      <c r="F111" s="75" t="str">
        <f t="shared" si="4"/>
        <v>PASS</v>
      </c>
      <c r="G111" s="33" t="s">
        <v>1005</v>
      </c>
    </row>
    <row r="112" spans="2:7">
      <c r="B112" s="27" t="s">
        <v>1006</v>
      </c>
      <c r="C112" s="72">
        <v>0</v>
      </c>
      <c r="D112" s="48">
        <f>ROUND(SUMPRODUCT(ABS('S1 CBS-OD'!$G$203:$U$203-('S1 CBS-OD'!$G$198:$U$198-'S1 CBS-OD'!$G$199:$U$199))),6)</f>
        <v>0</v>
      </c>
      <c r="E112" s="72">
        <v>0</v>
      </c>
      <c r="F112" s="75" t="str">
        <f t="shared" si="4"/>
        <v>PASS</v>
      </c>
      <c r="G112" s="33" t="s">
        <v>146</v>
      </c>
    </row>
    <row r="113" spans="2:7">
      <c r="B113" s="27" t="s">
        <v>1007</v>
      </c>
      <c r="C113" s="72">
        <v>0</v>
      </c>
      <c r="D113" s="48">
        <f>ROUND('S1 CBS-OD'!V243-('S1 CBS-OD'!V202-'S1 CBS-OD'!V222-'S1 CBS-OD'!V240),6)</f>
        <v>0</v>
      </c>
      <c r="E113" s="72">
        <v>0</v>
      </c>
      <c r="F113" s="75" t="str">
        <f t="shared" si="4"/>
        <v>PASS</v>
      </c>
      <c r="G113" s="33" t="s">
        <v>181</v>
      </c>
    </row>
    <row r="114" spans="2:7" ht="22.5">
      <c r="B114" s="27" t="s">
        <v>1008</v>
      </c>
      <c r="C114" s="72">
        <v>0</v>
      </c>
      <c r="D114" s="48">
        <f>ROUND(MAX(0,SUMPRODUCT(('S1 CBS-OD'!C225:C232&lt;&gt;"Tier 1")*('S1 CBS-OD'!C225:C232&lt;&gt;"")*'S1 CBS-OD'!V225:V232)+'S1 CBS-OD'!V234-SUMPRODUCT(('S1 CBS-OD'!G101:N101&lt;&gt;"Tier 1")*('S1 CBS-OD'!G101:N101&lt;&gt;"")*'S1 CBS-OD'!G107:N107)),6)</f>
        <v>0</v>
      </c>
      <c r="E114" s="72">
        <v>0</v>
      </c>
      <c r="F114" s="75" t="str">
        <f t="shared" si="4"/>
        <v>PASS</v>
      </c>
      <c r="G114" s="33" t="s">
        <v>1009</v>
      </c>
    </row>
    <row r="115" spans="2:7">
      <c r="B115" s="27" t="s">
        <v>1010</v>
      </c>
      <c r="C115" s="80">
        <f>IF('S1 CBS-OD'!G75="",0,N('S1 CBS-OD'!H124)*(DATE('S1 CBS-OD'!H115,12,31)-DATE('S1 CBS-OD'!H115,1,1)+1)*'S1 CBS-OD'!$F$22*'S1 CBS-OD'!$F$25*N('S1 CBS-OD'!G80)*IF('S1 CBS-OD'!G77="Septic tank emptied by the activity",0.5,IF('S1 CBS-OD'!G77="Pit latrine emptied by the activity",IF(N('S1 CBS-OD'!H124)&gt;0,MIN(1,N('S1 CBS-OD'!H125)*IF(ISNUMBER('S1 CBS-OD'!G84),'S1 CBS-OD'!G84,0.0018)*1000/(N('S1 CBS-OD'!H124)*(DATE('S1 CBS-OD'!H115,12,31)-DATE('S1 CBS-OD'!H115,1,1)+1)*'S1 CBS-OD'!$F$22)),0),1))*28/1000)+IF('S1 CBS-OD'!H75="",0,N('S1 CBS-OD'!H138)*(DATE('S1 CBS-OD'!H115,12,31)-DATE('S1 CBS-OD'!H115,1,1)+1)*'S1 CBS-OD'!$F$22*'S1 CBS-OD'!$F$25*N('S1 CBS-OD'!H80)*IF('S1 CBS-OD'!H77="Septic tank emptied by the activity",0.5,IF('S1 CBS-OD'!H77="Pit latrine emptied by the activity",IF(N('S1 CBS-OD'!H138)&gt;0,MIN(1,N('S1 CBS-OD'!H139)*IF(ISNUMBER('S1 CBS-OD'!H84),'S1 CBS-OD'!H84,0.0018)*1000/(N('S1 CBS-OD'!H138)*(DATE('S1 CBS-OD'!H115,12,31)-DATE('S1 CBS-OD'!H115,1,1)+1)*'S1 CBS-OD'!$F$22)),0),1))*28/1000)+IF('S1 CBS-OD'!I75="",0,N('S1 CBS-OD'!H152)*(DATE('S1 CBS-OD'!H115,12,31)-DATE('S1 CBS-OD'!H115,1,1)+1)*'S1 CBS-OD'!$F$22*'S1 CBS-OD'!$F$25*N('S1 CBS-OD'!I80)*IF('S1 CBS-OD'!I77="Septic tank emptied by the activity",0.5,IF('S1 CBS-OD'!I77="Pit latrine emptied by the activity",IF(N('S1 CBS-OD'!H152)&gt;0,MIN(1,N('S1 CBS-OD'!H153)*IF(ISNUMBER('S1 CBS-OD'!I84),'S1 CBS-OD'!I84,0.0018)*1000/(N('S1 CBS-OD'!H152)*(DATE('S1 CBS-OD'!H115,12,31)-DATE('S1 CBS-OD'!H115,1,1)+1)*'S1 CBS-OD'!$F$22)),0),1))*28/1000)+IF('S1 CBS-OD'!J75="",0,N('S1 CBS-OD'!H166)*(DATE('S1 CBS-OD'!H115,12,31)-DATE('S1 CBS-OD'!H115,1,1)+1)*'S1 CBS-OD'!$F$22*'S1 CBS-OD'!$F$25*N('S1 CBS-OD'!J80)*IF('S1 CBS-OD'!J77="Septic tank emptied by the activity",0.5,IF('S1 CBS-OD'!J77="Pit latrine emptied by the activity",IF(N('S1 CBS-OD'!H166)&gt;0,MIN(1,N('S1 CBS-OD'!H167)*IF(ISNUMBER('S1 CBS-OD'!J84),'S1 CBS-OD'!J84,0.0018)*1000/(N('S1 CBS-OD'!H166)*(DATE('S1 CBS-OD'!H115,12,31)-DATE('S1 CBS-OD'!H115,1,1)+1)*'S1 CBS-OD'!$F$22)),0),1))*28/1000)+IF('S1 CBS-OD'!K75="",0,N('S1 CBS-OD'!H180)*(DATE('S1 CBS-OD'!H115,12,31)-DATE('S1 CBS-OD'!H115,1,1)+1)*'S1 CBS-OD'!$F$22*'S1 CBS-OD'!$F$25*N('S1 CBS-OD'!K80)*IF('S1 CBS-OD'!K77="Septic tank emptied by the activity",0.5,IF('S1 CBS-OD'!K77="Pit latrine emptied by the activity",IF(N('S1 CBS-OD'!H180)&gt;0,MIN(1,N('S1 CBS-OD'!H181)*IF(ISNUMBER('S1 CBS-OD'!K84),'S1 CBS-OD'!K84,0.0018)*1000/(N('S1 CBS-OD'!H180)*(DATE('S1 CBS-OD'!H115,12,31)-DATE('S1 CBS-OD'!H115,1,1)+1)*'S1 CBS-OD'!$F$22)),0),1))*28/1000)</f>
        <v>2048.1953099999996</v>
      </c>
      <c r="D115" s="80">
        <f>'S1 CBS-OD'!H195</f>
        <v>2048.1953099999996</v>
      </c>
      <c r="E115" s="72">
        <v>9.9999999999999995E-7</v>
      </c>
      <c r="F115" s="75" t="str">
        <f t="shared" si="4"/>
        <v>PASS</v>
      </c>
      <c r="G115" s="33" t="s">
        <v>1011</v>
      </c>
    </row>
    <row r="116" spans="2:7">
      <c r="B116" s="27" t="s">
        <v>1012</v>
      </c>
      <c r="C116" s="79">
        <v>0</v>
      </c>
      <c r="D116" s="80">
        <f>MIN(0,MIN('S2 Pit service'!$G$244:$U$244))</f>
        <v>0</v>
      </c>
      <c r="E116" s="72">
        <v>0</v>
      </c>
      <c r="F116" s="75" t="str">
        <f t="shared" si="4"/>
        <v>PASS</v>
      </c>
      <c r="G116" s="33" t="s">
        <v>722</v>
      </c>
    </row>
    <row r="117" spans="2:7" ht="22.5">
      <c r="B117" s="27" t="s">
        <v>1013</v>
      </c>
      <c r="C117" s="72">
        <v>0</v>
      </c>
      <c r="D117" s="48">
        <f>SUMPRODUCT(('S2 Pit service'!$G$199:$U$199&gt;'S2 Pit service'!$G$198:$U$198+0.000001)*1)</f>
        <v>0</v>
      </c>
      <c r="E117" s="72">
        <v>0</v>
      </c>
      <c r="F117" s="75" t="str">
        <f t="shared" si="4"/>
        <v>PASS</v>
      </c>
      <c r="G117" s="33" t="s">
        <v>1005</v>
      </c>
    </row>
    <row r="118" spans="2:7">
      <c r="B118" s="27" t="s">
        <v>1014</v>
      </c>
      <c r="C118" s="72">
        <v>0</v>
      </c>
      <c r="D118" s="48">
        <f>ROUND(SUMPRODUCT(ABS('S2 Pit service'!$G$203:$U$203-('S2 Pit service'!$G$198:$U$198-'S2 Pit service'!$G$199:$U$199))),6)</f>
        <v>0</v>
      </c>
      <c r="E118" s="72">
        <v>0</v>
      </c>
      <c r="F118" s="75" t="str">
        <f t="shared" si="4"/>
        <v>PASS</v>
      </c>
      <c r="G118" s="33" t="s">
        <v>146</v>
      </c>
    </row>
    <row r="119" spans="2:7">
      <c r="B119" s="27" t="s">
        <v>1015</v>
      </c>
      <c r="C119" s="72">
        <v>0</v>
      </c>
      <c r="D119" s="48">
        <f>ROUND('S2 Pit service'!V243-('S2 Pit service'!V202-'S2 Pit service'!V222-'S2 Pit service'!V240),6)</f>
        <v>0</v>
      </c>
      <c r="E119" s="72">
        <v>0</v>
      </c>
      <c r="F119" s="75" t="str">
        <f t="shared" si="4"/>
        <v>PASS</v>
      </c>
      <c r="G119" s="33" t="s">
        <v>181</v>
      </c>
    </row>
    <row r="120" spans="2:7" ht="22.5">
      <c r="B120" s="27" t="s">
        <v>1016</v>
      </c>
      <c r="C120" s="72">
        <v>0</v>
      </c>
      <c r="D120" s="48">
        <f>ROUND(MAX(0,SUMPRODUCT(('S2 Pit service'!C225:C232&lt;&gt;"Tier 1")*('S2 Pit service'!C225:C232&lt;&gt;"")*'S2 Pit service'!V225:V232)+'S2 Pit service'!V234-SUMPRODUCT(('S2 Pit service'!G101:N101&lt;&gt;"Tier 1")*('S2 Pit service'!G101:N101&lt;&gt;"")*'S2 Pit service'!G107:N107)),6)</f>
        <v>0</v>
      </c>
      <c r="E120" s="72">
        <v>0</v>
      </c>
      <c r="F120" s="75" t="str">
        <f t="shared" si="4"/>
        <v>PASS</v>
      </c>
      <c r="G120" s="33" t="s">
        <v>1009</v>
      </c>
    </row>
    <row r="121" spans="2:7">
      <c r="B121" s="27" t="s">
        <v>1017</v>
      </c>
      <c r="C121" s="80">
        <f>IF('S2 Pit service'!G75="",0,N('S2 Pit service'!H124)*(DATE('S2 Pit service'!H115,12,31)-DATE('S2 Pit service'!H115,1,1)+1)*'S2 Pit service'!$F$22*'S2 Pit service'!$F$25*N('S2 Pit service'!G80)*IF('S2 Pit service'!G77="Septic tank emptied by the activity",0.5,IF('S2 Pit service'!G77="Pit latrine emptied by the activity",IF(N('S2 Pit service'!H124)&gt;0,MIN(1,N('S2 Pit service'!H125)*IF(ISNUMBER('S2 Pit service'!G84),'S2 Pit service'!G84,0.0018)*1000/(N('S2 Pit service'!H124)*(DATE('S2 Pit service'!H115,12,31)-DATE('S2 Pit service'!H115,1,1)+1)*'S2 Pit service'!$F$22)),0),1))*28/1000)+IF('S2 Pit service'!H75="",0,N('S2 Pit service'!H138)*(DATE('S2 Pit service'!H115,12,31)-DATE('S2 Pit service'!H115,1,1)+1)*'S2 Pit service'!$F$22*'S2 Pit service'!$F$25*N('S2 Pit service'!H80)*IF('S2 Pit service'!H77="Septic tank emptied by the activity",0.5,IF('S2 Pit service'!H77="Pit latrine emptied by the activity",IF(N('S2 Pit service'!H138)&gt;0,MIN(1,N('S2 Pit service'!H139)*IF(ISNUMBER('S2 Pit service'!H84),'S2 Pit service'!H84,0.0018)*1000/(N('S2 Pit service'!H138)*(DATE('S2 Pit service'!H115,12,31)-DATE('S2 Pit service'!H115,1,1)+1)*'S2 Pit service'!$F$22)),0),1))*28/1000)+IF('S2 Pit service'!I75="",0,N('S2 Pit service'!H152)*(DATE('S2 Pit service'!H115,12,31)-DATE('S2 Pit service'!H115,1,1)+1)*'S2 Pit service'!$F$22*'S2 Pit service'!$F$25*N('S2 Pit service'!I80)*IF('S2 Pit service'!I77="Septic tank emptied by the activity",0.5,IF('S2 Pit service'!I77="Pit latrine emptied by the activity",IF(N('S2 Pit service'!H152)&gt;0,MIN(1,N('S2 Pit service'!H153)*IF(ISNUMBER('S2 Pit service'!I84),'S2 Pit service'!I84,0.0018)*1000/(N('S2 Pit service'!H152)*(DATE('S2 Pit service'!H115,12,31)-DATE('S2 Pit service'!H115,1,1)+1)*'S2 Pit service'!$F$22)),0),1))*28/1000)+IF('S2 Pit service'!J75="",0,N('S2 Pit service'!H166)*(DATE('S2 Pit service'!H115,12,31)-DATE('S2 Pit service'!H115,1,1)+1)*'S2 Pit service'!$F$22*'S2 Pit service'!$F$25*N('S2 Pit service'!J80)*IF('S2 Pit service'!J77="Septic tank emptied by the activity",0.5,IF('S2 Pit service'!J77="Pit latrine emptied by the activity",IF(N('S2 Pit service'!H166)&gt;0,MIN(1,N('S2 Pit service'!H167)*IF(ISNUMBER('S2 Pit service'!J84),'S2 Pit service'!J84,0.0018)*1000/(N('S2 Pit service'!H166)*(DATE('S2 Pit service'!H115,12,31)-DATE('S2 Pit service'!H115,1,1)+1)*'S2 Pit service'!$F$22)),0),1))*28/1000)+IF('S2 Pit service'!K75="",0,N('S2 Pit service'!H180)*(DATE('S2 Pit service'!H115,12,31)-DATE('S2 Pit service'!H115,1,1)+1)*'S2 Pit service'!$F$22*'S2 Pit service'!$F$25*N('S2 Pit service'!K80)*IF('S2 Pit service'!K77="Septic tank emptied by the activity",0.5,IF('S2 Pit service'!K77="Pit latrine emptied by the activity",IF(N('S2 Pit service'!H180)&gt;0,MIN(1,N('S2 Pit service'!H181)*IF(ISNUMBER('S2 Pit service'!K84),'S2 Pit service'!K84,0.0018)*1000/(N('S2 Pit service'!H180)*(DATE('S2 Pit service'!H115,12,31)-DATE('S2 Pit service'!H115,1,1)+1)*'S2 Pit service'!$F$22)),0),1))*28/1000)</f>
        <v>9149.0615999999991</v>
      </c>
      <c r="D121" s="80">
        <f>'S2 Pit service'!H195</f>
        <v>9149.0615999999991</v>
      </c>
      <c r="E121" s="72">
        <v>9.9999999999999995E-7</v>
      </c>
      <c r="F121" s="75" t="str">
        <f t="shared" si="4"/>
        <v>PASS</v>
      </c>
      <c r="G121" s="33" t="s">
        <v>1011</v>
      </c>
    </row>
    <row r="122" spans="2:7">
      <c r="B122" s="27" t="s">
        <v>1018</v>
      </c>
      <c r="C122" s="79">
        <v>0</v>
      </c>
      <c r="D122" s="80">
        <f>MIN(0,MIN('S2M Pit measured'!$G$244:$U$244))</f>
        <v>0</v>
      </c>
      <c r="E122" s="72">
        <v>0</v>
      </c>
      <c r="F122" s="75" t="str">
        <f t="shared" si="4"/>
        <v>PASS</v>
      </c>
      <c r="G122" s="33" t="s">
        <v>722</v>
      </c>
    </row>
    <row r="123" spans="2:7" ht="22.5">
      <c r="B123" s="27" t="s">
        <v>1019</v>
      </c>
      <c r="C123" s="72">
        <v>0</v>
      </c>
      <c r="D123" s="48">
        <f>SUMPRODUCT(('S2M Pit measured'!$G$199:$U$199&gt;'S2M Pit measured'!$G$198:$U$198+0.000001)*1)</f>
        <v>0</v>
      </c>
      <c r="E123" s="72">
        <v>0</v>
      </c>
      <c r="F123" s="75" t="str">
        <f t="shared" si="4"/>
        <v>PASS</v>
      </c>
      <c r="G123" s="33" t="s">
        <v>1005</v>
      </c>
    </row>
    <row r="124" spans="2:7">
      <c r="B124" s="27" t="s">
        <v>1020</v>
      </c>
      <c r="C124" s="72">
        <v>0</v>
      </c>
      <c r="D124" s="48">
        <f>ROUND(SUMPRODUCT(ABS('S2M Pit measured'!$G$203:$U$203-('S2M Pit measured'!$G$198:$U$198-'S2M Pit measured'!$G$199:$U$199))),6)</f>
        <v>0</v>
      </c>
      <c r="E124" s="72">
        <v>0</v>
      </c>
      <c r="F124" s="75" t="str">
        <f t="shared" si="4"/>
        <v>PASS</v>
      </c>
      <c r="G124" s="33" t="s">
        <v>146</v>
      </c>
    </row>
    <row r="125" spans="2:7">
      <c r="B125" s="27" t="s">
        <v>1021</v>
      </c>
      <c r="C125" s="72">
        <v>0</v>
      </c>
      <c r="D125" s="48">
        <f>ROUND('S2M Pit measured'!V243-('S2M Pit measured'!V202-'S2M Pit measured'!V222-'S2M Pit measured'!V240),6)</f>
        <v>0</v>
      </c>
      <c r="E125" s="72">
        <v>0</v>
      </c>
      <c r="F125" s="75" t="str">
        <f t="shared" si="4"/>
        <v>PASS</v>
      </c>
      <c r="G125" s="33" t="s">
        <v>181</v>
      </c>
    </row>
    <row r="126" spans="2:7" ht="22.5">
      <c r="B126" s="27" t="s">
        <v>1022</v>
      </c>
      <c r="C126" s="72">
        <v>0</v>
      </c>
      <c r="D126" s="48">
        <f>ROUND(MAX(0,SUMPRODUCT(('S2M Pit measured'!C225:C232&lt;&gt;"Tier 1")*('S2M Pit measured'!C225:C232&lt;&gt;"")*'S2M Pit measured'!V225:V232)+'S2M Pit measured'!V234-SUMPRODUCT(('S2M Pit measured'!G101:N101&lt;&gt;"Tier 1")*('S2M Pit measured'!G101:N101&lt;&gt;"")*'S2M Pit measured'!G107:N107)),6)</f>
        <v>0</v>
      </c>
      <c r="E126" s="72">
        <v>0</v>
      </c>
      <c r="F126" s="75" t="str">
        <f t="shared" si="4"/>
        <v>PASS</v>
      </c>
      <c r="G126" s="33" t="s">
        <v>1009</v>
      </c>
    </row>
    <row r="127" spans="2:7">
      <c r="B127" s="27" t="s">
        <v>1023</v>
      </c>
      <c r="C127" s="80">
        <f>IF('S2M Pit measured'!G75="",0,N('S2M Pit measured'!H124)*(DATE('S2M Pit measured'!H115,12,31)-DATE('S2M Pit measured'!H115,1,1)+1)*'S2M Pit measured'!$F$22*'S2M Pit measured'!$F$25*N('S2M Pit measured'!G80)*IF('S2M Pit measured'!G77="Septic tank emptied by the activity",0.5,IF('S2M Pit measured'!G77="Pit latrine emptied by the activity",IF(N('S2M Pit measured'!H124)&gt;0,MIN(1,N('S2M Pit measured'!H125)*IF(ISNUMBER('S2M Pit measured'!G84),'S2M Pit measured'!G84,0.0018)*1000/(N('S2M Pit measured'!H124)*(DATE('S2M Pit measured'!H115,12,31)-DATE('S2M Pit measured'!H115,1,1)+1)*'S2M Pit measured'!$F$22)),0),1))*28/1000)+IF('S2M Pit measured'!H75="",0,N('S2M Pit measured'!H138)*(DATE('S2M Pit measured'!H115,12,31)-DATE('S2M Pit measured'!H115,1,1)+1)*'S2M Pit measured'!$F$22*'S2M Pit measured'!$F$25*N('S2M Pit measured'!H80)*IF('S2M Pit measured'!H77="Septic tank emptied by the activity",0.5,IF('S2M Pit measured'!H77="Pit latrine emptied by the activity",IF(N('S2M Pit measured'!H138)&gt;0,MIN(1,N('S2M Pit measured'!H139)*IF(ISNUMBER('S2M Pit measured'!H84),'S2M Pit measured'!H84,0.0018)*1000/(N('S2M Pit measured'!H138)*(DATE('S2M Pit measured'!H115,12,31)-DATE('S2M Pit measured'!H115,1,1)+1)*'S2M Pit measured'!$F$22)),0),1))*28/1000)+IF('S2M Pit measured'!I75="",0,N('S2M Pit measured'!H152)*(DATE('S2M Pit measured'!H115,12,31)-DATE('S2M Pit measured'!H115,1,1)+1)*'S2M Pit measured'!$F$22*'S2M Pit measured'!$F$25*N('S2M Pit measured'!I80)*IF('S2M Pit measured'!I77="Septic tank emptied by the activity",0.5,IF('S2M Pit measured'!I77="Pit latrine emptied by the activity",IF(N('S2M Pit measured'!H152)&gt;0,MIN(1,N('S2M Pit measured'!H153)*IF(ISNUMBER('S2M Pit measured'!I84),'S2M Pit measured'!I84,0.0018)*1000/(N('S2M Pit measured'!H152)*(DATE('S2M Pit measured'!H115,12,31)-DATE('S2M Pit measured'!H115,1,1)+1)*'S2M Pit measured'!$F$22)),0),1))*28/1000)+IF('S2M Pit measured'!J75="",0,N('S2M Pit measured'!H166)*(DATE('S2M Pit measured'!H115,12,31)-DATE('S2M Pit measured'!H115,1,1)+1)*'S2M Pit measured'!$F$22*'S2M Pit measured'!$F$25*N('S2M Pit measured'!J80)*IF('S2M Pit measured'!J77="Septic tank emptied by the activity",0.5,IF('S2M Pit measured'!J77="Pit latrine emptied by the activity",IF(N('S2M Pit measured'!H166)&gt;0,MIN(1,N('S2M Pit measured'!H167)*IF(ISNUMBER('S2M Pit measured'!J84),'S2M Pit measured'!J84,0.0018)*1000/(N('S2M Pit measured'!H166)*(DATE('S2M Pit measured'!H115,12,31)-DATE('S2M Pit measured'!H115,1,1)+1)*'S2M Pit measured'!$F$22)),0),1))*28/1000)+IF('S2M Pit measured'!K75="",0,N('S2M Pit measured'!H180)*(DATE('S2M Pit measured'!H115,12,31)-DATE('S2M Pit measured'!H115,1,1)+1)*'S2M Pit measured'!$F$22*'S2M Pit measured'!$F$25*N('S2M Pit measured'!K80)*IF('S2M Pit measured'!K77="Septic tank emptied by the activity",0.5,IF('S2M Pit measured'!K77="Pit latrine emptied by the activity",IF(N('S2M Pit measured'!H180)&gt;0,MIN(1,N('S2M Pit measured'!H181)*IF(ISNUMBER('S2M Pit measured'!K84),'S2M Pit measured'!K84,0.0018)*1000/(N('S2M Pit measured'!H180)*(DATE('S2M Pit measured'!H115,12,31)-DATE('S2M Pit measured'!H115,1,1)+1)*'S2M Pit measured'!$F$22)),0),1))*28/1000)</f>
        <v>11240.006399999998</v>
      </c>
      <c r="D127" s="80">
        <f>'S2M Pit measured'!H195</f>
        <v>11240.006399999998</v>
      </c>
      <c r="E127" s="72">
        <v>9.9999999999999995E-7</v>
      </c>
      <c r="F127" s="75" t="str">
        <f t="shared" si="4"/>
        <v>PASS</v>
      </c>
      <c r="G127" s="33" t="s">
        <v>1011</v>
      </c>
    </row>
    <row r="128" spans="2:7">
      <c r="B128" s="27" t="s">
        <v>1024</v>
      </c>
      <c r="C128" s="79">
        <v>0</v>
      </c>
      <c r="D128" s="80">
        <f>MIN(0,MIN('S3 Septic-AD'!$G$244:$U$244))</f>
        <v>0</v>
      </c>
      <c r="E128" s="72">
        <v>0</v>
      </c>
      <c r="F128" s="75" t="str">
        <f t="shared" si="4"/>
        <v>PASS</v>
      </c>
      <c r="G128" s="33" t="s">
        <v>722</v>
      </c>
    </row>
    <row r="129" spans="2:7" ht="22.5">
      <c r="B129" s="27" t="s">
        <v>1025</v>
      </c>
      <c r="C129" s="72">
        <v>0</v>
      </c>
      <c r="D129" s="48">
        <f>SUMPRODUCT(('S3 Septic-AD'!$G$199:$U$199&gt;'S3 Septic-AD'!$G$198:$U$198+0.000001)*1)</f>
        <v>0</v>
      </c>
      <c r="E129" s="72">
        <v>0</v>
      </c>
      <c r="F129" s="75" t="str">
        <f t="shared" si="4"/>
        <v>PASS</v>
      </c>
      <c r="G129" s="33" t="s">
        <v>1005</v>
      </c>
    </row>
    <row r="130" spans="2:7">
      <c r="B130" s="27" t="s">
        <v>1026</v>
      </c>
      <c r="C130" s="72">
        <v>0</v>
      </c>
      <c r="D130" s="48">
        <f>ROUND(SUMPRODUCT(ABS('S3 Septic-AD'!$G$203:$U$203-('S3 Septic-AD'!$G$198:$U$198-'S3 Septic-AD'!$G$199:$U$199))),6)</f>
        <v>0</v>
      </c>
      <c r="E130" s="72">
        <v>0</v>
      </c>
      <c r="F130" s="75" t="str">
        <f t="shared" si="4"/>
        <v>PASS</v>
      </c>
      <c r="G130" s="33" t="s">
        <v>146</v>
      </c>
    </row>
    <row r="131" spans="2:7">
      <c r="B131" s="27" t="s">
        <v>1027</v>
      </c>
      <c r="C131" s="72">
        <v>0</v>
      </c>
      <c r="D131" s="48">
        <f>ROUND('S3 Septic-AD'!V243-('S3 Septic-AD'!V202-'S3 Septic-AD'!V222-'S3 Septic-AD'!V240),6)</f>
        <v>0</v>
      </c>
      <c r="E131" s="72">
        <v>0</v>
      </c>
      <c r="F131" s="75" t="str">
        <f t="shared" si="4"/>
        <v>PASS</v>
      </c>
      <c r="G131" s="33" t="s">
        <v>181</v>
      </c>
    </row>
    <row r="132" spans="2:7" ht="22.5">
      <c r="B132" s="27" t="s">
        <v>1028</v>
      </c>
      <c r="C132" s="72">
        <v>0</v>
      </c>
      <c r="D132" s="48">
        <f>ROUND(MAX(0,SUMPRODUCT(('S3 Septic-AD'!C225:C232&lt;&gt;"Tier 1")*('S3 Septic-AD'!C225:C232&lt;&gt;"")*'S3 Septic-AD'!V225:V232)+'S3 Septic-AD'!V234-SUMPRODUCT(('S3 Septic-AD'!G101:N101&lt;&gt;"Tier 1")*('S3 Septic-AD'!G101:N101&lt;&gt;"")*'S3 Septic-AD'!G107:N107)),6)</f>
        <v>0</v>
      </c>
      <c r="E132" s="72">
        <v>0</v>
      </c>
      <c r="F132" s="75" t="str">
        <f t="shared" si="4"/>
        <v>PASS</v>
      </c>
      <c r="G132" s="33" t="s">
        <v>1009</v>
      </c>
    </row>
    <row r="133" spans="2:7">
      <c r="B133" s="27" t="s">
        <v>1029</v>
      </c>
      <c r="C133" s="80">
        <f>IF('S3 Septic-AD'!G75="",0,N('S3 Septic-AD'!H124)*(DATE('S3 Septic-AD'!H115,12,31)-DATE('S3 Septic-AD'!H115,1,1)+1)*'S3 Septic-AD'!$F$22*'S3 Septic-AD'!$F$25*N('S3 Septic-AD'!G80)*IF('S3 Septic-AD'!G77="Septic tank emptied by the activity",0.5,IF('S3 Septic-AD'!G77="Pit latrine emptied by the activity",IF(N('S3 Septic-AD'!H124)&gt;0,MIN(1,N('S3 Septic-AD'!H125)*IF(ISNUMBER('S3 Septic-AD'!G84),'S3 Septic-AD'!G84,0.0018)*1000/(N('S3 Septic-AD'!H124)*(DATE('S3 Septic-AD'!H115,12,31)-DATE('S3 Septic-AD'!H115,1,1)+1)*'S3 Septic-AD'!$F$22)),0),1))*28/1000)+IF('S3 Septic-AD'!H75="",0,N('S3 Septic-AD'!H138)*(DATE('S3 Septic-AD'!H115,12,31)-DATE('S3 Septic-AD'!H115,1,1)+1)*'S3 Septic-AD'!$F$22*'S3 Septic-AD'!$F$25*N('S3 Septic-AD'!H80)*IF('S3 Septic-AD'!H77="Septic tank emptied by the activity",0.5,IF('S3 Septic-AD'!H77="Pit latrine emptied by the activity",IF(N('S3 Septic-AD'!H138)&gt;0,MIN(1,N('S3 Septic-AD'!H139)*IF(ISNUMBER('S3 Septic-AD'!H84),'S3 Septic-AD'!H84,0.0018)*1000/(N('S3 Septic-AD'!H138)*(DATE('S3 Septic-AD'!H115,12,31)-DATE('S3 Septic-AD'!H115,1,1)+1)*'S3 Septic-AD'!$F$22)),0),1))*28/1000)+IF('S3 Septic-AD'!I75="",0,N('S3 Septic-AD'!H152)*(DATE('S3 Septic-AD'!H115,12,31)-DATE('S3 Septic-AD'!H115,1,1)+1)*'S3 Septic-AD'!$F$22*'S3 Septic-AD'!$F$25*N('S3 Septic-AD'!I80)*IF('S3 Septic-AD'!I77="Septic tank emptied by the activity",0.5,IF('S3 Septic-AD'!I77="Pit latrine emptied by the activity",IF(N('S3 Septic-AD'!H152)&gt;0,MIN(1,N('S3 Septic-AD'!H153)*IF(ISNUMBER('S3 Septic-AD'!I84),'S3 Septic-AD'!I84,0.0018)*1000/(N('S3 Septic-AD'!H152)*(DATE('S3 Septic-AD'!H115,12,31)-DATE('S3 Septic-AD'!H115,1,1)+1)*'S3 Septic-AD'!$F$22)),0),1))*28/1000)+IF('S3 Septic-AD'!J75="",0,N('S3 Septic-AD'!H166)*(DATE('S3 Septic-AD'!H115,12,31)-DATE('S3 Septic-AD'!H115,1,1)+1)*'S3 Septic-AD'!$F$22*'S3 Septic-AD'!$F$25*N('S3 Septic-AD'!J80)*IF('S3 Septic-AD'!J77="Septic tank emptied by the activity",0.5,IF('S3 Septic-AD'!J77="Pit latrine emptied by the activity",IF(N('S3 Septic-AD'!H166)&gt;0,MIN(1,N('S3 Septic-AD'!H167)*IF(ISNUMBER('S3 Septic-AD'!J84),'S3 Septic-AD'!J84,0.0018)*1000/(N('S3 Septic-AD'!H166)*(DATE('S3 Septic-AD'!H115,12,31)-DATE('S3 Septic-AD'!H115,1,1)+1)*'S3 Septic-AD'!$F$22)),0),1))*28/1000)+IF('S3 Septic-AD'!K75="",0,N('S3 Septic-AD'!H180)*(DATE('S3 Septic-AD'!H115,12,31)-DATE('S3 Septic-AD'!H115,1,1)+1)*'S3 Septic-AD'!$F$22*'S3 Septic-AD'!$F$25*N('S3 Septic-AD'!K80)*IF('S3 Septic-AD'!K77="Septic tank emptied by the activity",0.5,IF('S3 Septic-AD'!K77="Pit latrine emptied by the activity",IF(N('S3 Septic-AD'!H180)&gt;0,MIN(1,N('S3 Septic-AD'!H181)*IF(ISNUMBER('S3 Septic-AD'!K84),'S3 Septic-AD'!K84,0.0018)*1000/(N('S3 Septic-AD'!H180)*(DATE('S3 Septic-AD'!H115,12,31)-DATE('S3 Septic-AD'!H115,1,1)+1)*'S3 Septic-AD'!$F$22)),0),1))*28/1000)</f>
        <v>7243.901280000001</v>
      </c>
      <c r="D133" s="80">
        <f>'S3 Septic-AD'!H195</f>
        <v>7243.901280000001</v>
      </c>
      <c r="E133" s="72">
        <v>9.9999999999999995E-7</v>
      </c>
      <c r="F133" s="75" t="str">
        <f t="shared" si="4"/>
        <v>PASS</v>
      </c>
      <c r="G133" s="33" t="s">
        <v>1011</v>
      </c>
    </row>
    <row r="134" spans="2:7">
      <c r="B134" s="27" t="s">
        <v>1030</v>
      </c>
      <c r="C134" s="79">
        <v>0</v>
      </c>
      <c r="D134" s="80">
        <f>MIN(0,MIN('S4 Mixed urban'!$G$244:$U$244))</f>
        <v>0</v>
      </c>
      <c r="E134" s="72">
        <v>0</v>
      </c>
      <c r="F134" s="75" t="str">
        <f t="shared" si="4"/>
        <v>PASS</v>
      </c>
      <c r="G134" s="33" t="s">
        <v>722</v>
      </c>
    </row>
    <row r="135" spans="2:7" ht="22.5">
      <c r="B135" s="27" t="s">
        <v>1031</v>
      </c>
      <c r="C135" s="72">
        <v>0</v>
      </c>
      <c r="D135" s="48">
        <f>SUMPRODUCT(('S4 Mixed urban'!$G$199:$U$199&gt;'S4 Mixed urban'!$G$198:$U$198+0.000001)*1)</f>
        <v>0</v>
      </c>
      <c r="E135" s="72">
        <v>0</v>
      </c>
      <c r="F135" s="75" t="str">
        <f t="shared" si="4"/>
        <v>PASS</v>
      </c>
      <c r="G135" s="33" t="s">
        <v>1005</v>
      </c>
    </row>
    <row r="136" spans="2:7">
      <c r="B136" s="27" t="s">
        <v>1032</v>
      </c>
      <c r="C136" s="72">
        <v>0</v>
      </c>
      <c r="D136" s="48">
        <f>ROUND(SUMPRODUCT(ABS('S4 Mixed urban'!$G$203:$U$203-('S4 Mixed urban'!$G$198:$U$198-'S4 Mixed urban'!$G$199:$U$199))),6)</f>
        <v>0</v>
      </c>
      <c r="E136" s="72">
        <v>0</v>
      </c>
      <c r="F136" s="75" t="str">
        <f t="shared" si="4"/>
        <v>PASS</v>
      </c>
      <c r="G136" s="33" t="s">
        <v>146</v>
      </c>
    </row>
    <row r="137" spans="2:7">
      <c r="B137" s="27" t="s">
        <v>1033</v>
      </c>
      <c r="C137" s="72">
        <v>0</v>
      </c>
      <c r="D137" s="48">
        <f>ROUND('S4 Mixed urban'!V243-('S4 Mixed urban'!V202-'S4 Mixed urban'!V222-'S4 Mixed urban'!V240),6)</f>
        <v>0</v>
      </c>
      <c r="E137" s="72">
        <v>0</v>
      </c>
      <c r="F137" s="75" t="str">
        <f t="shared" si="4"/>
        <v>PASS</v>
      </c>
      <c r="G137" s="33" t="s">
        <v>181</v>
      </c>
    </row>
    <row r="138" spans="2:7" ht="22.5">
      <c r="B138" s="27" t="s">
        <v>1034</v>
      </c>
      <c r="C138" s="72">
        <v>0</v>
      </c>
      <c r="D138" s="48">
        <f>ROUND(MAX(0,SUMPRODUCT(('S4 Mixed urban'!C225:C232&lt;&gt;"Tier 1")*('S4 Mixed urban'!C225:C232&lt;&gt;"")*'S4 Mixed urban'!V225:V232)+'S4 Mixed urban'!V234-SUMPRODUCT(('S4 Mixed urban'!G101:N101&lt;&gt;"Tier 1")*('S4 Mixed urban'!G101:N101&lt;&gt;"")*'S4 Mixed urban'!G107:N107)),6)</f>
        <v>0</v>
      </c>
      <c r="E138" s="72">
        <v>0</v>
      </c>
      <c r="F138" s="75" t="str">
        <f t="shared" si="4"/>
        <v>PASS</v>
      </c>
      <c r="G138" s="33" t="s">
        <v>1009</v>
      </c>
    </row>
    <row r="139" spans="2:7">
      <c r="B139" s="27" t="s">
        <v>1035</v>
      </c>
      <c r="C139" s="80">
        <f>IF('S4 Mixed urban'!G75="",0,N('S4 Mixed urban'!H124)*(DATE('S4 Mixed urban'!H115,12,31)-DATE('S4 Mixed urban'!H115,1,1)+1)*'S4 Mixed urban'!$F$22*'S4 Mixed urban'!$F$25*N('S4 Mixed urban'!G80)*IF('S4 Mixed urban'!G77="Septic tank emptied by the activity",0.5,IF('S4 Mixed urban'!G77="Pit latrine emptied by the activity",IF(N('S4 Mixed urban'!H124)&gt;0,MIN(1,N('S4 Mixed urban'!H125)*IF(ISNUMBER('S4 Mixed urban'!G84),'S4 Mixed urban'!G84,0.0018)*1000/(N('S4 Mixed urban'!H124)*(DATE('S4 Mixed urban'!H115,12,31)-DATE('S4 Mixed urban'!H115,1,1)+1)*'S4 Mixed urban'!$F$22)),0),1))*28/1000)+IF('S4 Mixed urban'!H75="",0,N('S4 Mixed urban'!H138)*(DATE('S4 Mixed urban'!H115,12,31)-DATE('S4 Mixed urban'!H115,1,1)+1)*'S4 Mixed urban'!$F$22*'S4 Mixed urban'!$F$25*N('S4 Mixed urban'!H80)*IF('S4 Mixed urban'!H77="Septic tank emptied by the activity",0.5,IF('S4 Mixed urban'!H77="Pit latrine emptied by the activity",IF(N('S4 Mixed urban'!H138)&gt;0,MIN(1,N('S4 Mixed urban'!H139)*IF(ISNUMBER('S4 Mixed urban'!H84),'S4 Mixed urban'!H84,0.0018)*1000/(N('S4 Mixed urban'!H138)*(DATE('S4 Mixed urban'!H115,12,31)-DATE('S4 Mixed urban'!H115,1,1)+1)*'S4 Mixed urban'!$F$22)),0),1))*28/1000)+IF('S4 Mixed urban'!I75="",0,N('S4 Mixed urban'!H152)*(DATE('S4 Mixed urban'!H115,12,31)-DATE('S4 Mixed urban'!H115,1,1)+1)*'S4 Mixed urban'!$F$22*'S4 Mixed urban'!$F$25*N('S4 Mixed urban'!I80)*IF('S4 Mixed urban'!I77="Septic tank emptied by the activity",0.5,IF('S4 Mixed urban'!I77="Pit latrine emptied by the activity",IF(N('S4 Mixed urban'!H152)&gt;0,MIN(1,N('S4 Mixed urban'!H153)*IF(ISNUMBER('S4 Mixed urban'!I84),'S4 Mixed urban'!I84,0.0018)*1000/(N('S4 Mixed urban'!H152)*(DATE('S4 Mixed urban'!H115,12,31)-DATE('S4 Mixed urban'!H115,1,1)+1)*'S4 Mixed urban'!$F$22)),0),1))*28/1000)+IF('S4 Mixed urban'!J75="",0,N('S4 Mixed urban'!H166)*(DATE('S4 Mixed urban'!H115,12,31)-DATE('S4 Mixed urban'!H115,1,1)+1)*'S4 Mixed urban'!$F$22*'S4 Mixed urban'!$F$25*N('S4 Mixed urban'!J80)*IF('S4 Mixed urban'!J77="Septic tank emptied by the activity",0.5,IF('S4 Mixed urban'!J77="Pit latrine emptied by the activity",IF(N('S4 Mixed urban'!H166)&gt;0,MIN(1,N('S4 Mixed urban'!H167)*IF(ISNUMBER('S4 Mixed urban'!J84),'S4 Mixed urban'!J84,0.0018)*1000/(N('S4 Mixed urban'!H166)*(DATE('S4 Mixed urban'!H115,12,31)-DATE('S4 Mixed urban'!H115,1,1)+1)*'S4 Mixed urban'!$F$22)),0),1))*28/1000)+IF('S4 Mixed urban'!K75="",0,N('S4 Mixed urban'!H180)*(DATE('S4 Mixed urban'!H115,12,31)-DATE('S4 Mixed urban'!H115,1,1)+1)*'S4 Mixed urban'!$F$22*'S4 Mixed urban'!$F$25*N('S4 Mixed urban'!K80)*IF('S4 Mixed urban'!K77="Septic tank emptied by the activity",0.5,IF('S4 Mixed urban'!K77="Pit latrine emptied by the activity",IF(N('S4 Mixed urban'!H180)&gt;0,MIN(1,N('S4 Mixed urban'!H181)*IF(ISNUMBER('S4 Mixed urban'!K84),'S4 Mixed urban'!K84,0.0018)*1000/(N('S4 Mixed urban'!H180)*(DATE('S4 Mixed urban'!H115,12,31)-DATE('S4 Mixed urban'!H115,1,1)+1)*'S4 Mixed urban'!$F$22)),0),1))*28/1000)</f>
        <v>21536.860665600005</v>
      </c>
      <c r="D139" s="80">
        <f>'S4 Mixed urban'!H195</f>
        <v>21536.860665600005</v>
      </c>
      <c r="E139" s="72">
        <v>9.9999999999999995E-7</v>
      </c>
      <c r="F139" s="75" t="str">
        <f t="shared" si="4"/>
        <v>PASS</v>
      </c>
      <c r="G139" s="33" t="s">
        <v>1011</v>
      </c>
    </row>
    <row r="140" spans="2:7">
      <c r="B140" s="27" t="s">
        <v>1036</v>
      </c>
      <c r="C140" s="79">
        <v>0</v>
      </c>
      <c r="D140" s="80">
        <f>MIN(0,MIN('S4M Mixed measured'!$G$244:$U$244))</f>
        <v>0</v>
      </c>
      <c r="E140" s="72">
        <v>0</v>
      </c>
      <c r="F140" s="75" t="str">
        <f t="shared" si="4"/>
        <v>PASS</v>
      </c>
      <c r="G140" s="33" t="s">
        <v>722</v>
      </c>
    </row>
    <row r="141" spans="2:7" ht="22.5">
      <c r="B141" s="27" t="s">
        <v>1037</v>
      </c>
      <c r="C141" s="72">
        <v>0</v>
      </c>
      <c r="D141" s="48">
        <f>SUMPRODUCT(('S4M Mixed measured'!$G$199:$U$199&gt;'S4M Mixed measured'!$G$198:$U$198+0.000001)*1)</f>
        <v>0</v>
      </c>
      <c r="E141" s="72">
        <v>0</v>
      </c>
      <c r="F141" s="75" t="str">
        <f t="shared" si="4"/>
        <v>PASS</v>
      </c>
      <c r="G141" s="33" t="s">
        <v>1005</v>
      </c>
    </row>
    <row r="142" spans="2:7">
      <c r="B142" s="27" t="s">
        <v>1038</v>
      </c>
      <c r="C142" s="72">
        <v>0</v>
      </c>
      <c r="D142" s="48">
        <f>ROUND(SUMPRODUCT(ABS('S4M Mixed measured'!$G$203:$U$203-('S4M Mixed measured'!$G$198:$U$198-'S4M Mixed measured'!$G$199:$U$199))),6)</f>
        <v>0</v>
      </c>
      <c r="E142" s="72">
        <v>0</v>
      </c>
      <c r="F142" s="75" t="str">
        <f t="shared" si="4"/>
        <v>PASS</v>
      </c>
      <c r="G142" s="33" t="s">
        <v>146</v>
      </c>
    </row>
    <row r="143" spans="2:7">
      <c r="B143" s="27" t="s">
        <v>1039</v>
      </c>
      <c r="C143" s="72">
        <v>0</v>
      </c>
      <c r="D143" s="48">
        <f>ROUND('S4M Mixed measured'!V243-('S4M Mixed measured'!V202-'S4M Mixed measured'!V222-'S4M Mixed measured'!V240),6)</f>
        <v>0</v>
      </c>
      <c r="E143" s="72">
        <v>0</v>
      </c>
      <c r="F143" s="75" t="str">
        <f t="shared" si="4"/>
        <v>PASS</v>
      </c>
      <c r="G143" s="33" t="s">
        <v>181</v>
      </c>
    </row>
    <row r="144" spans="2:7" ht="22.5">
      <c r="B144" s="27" t="s">
        <v>1040</v>
      </c>
      <c r="C144" s="72">
        <v>0</v>
      </c>
      <c r="D144" s="48">
        <f>ROUND(MAX(0,SUMPRODUCT(('S4M Mixed measured'!C225:C232&lt;&gt;"Tier 1")*('S4M Mixed measured'!C225:C232&lt;&gt;"")*'S4M Mixed measured'!V225:V232)+'S4M Mixed measured'!V234-SUMPRODUCT(('S4M Mixed measured'!G101:N101&lt;&gt;"Tier 1")*('S4M Mixed measured'!G101:N101&lt;&gt;"")*'S4M Mixed measured'!G107:N107)),6)</f>
        <v>0</v>
      </c>
      <c r="E144" s="72">
        <v>0</v>
      </c>
      <c r="F144" s="75" t="str">
        <f t="shared" si="4"/>
        <v>PASS</v>
      </c>
      <c r="G144" s="33" t="s">
        <v>1009</v>
      </c>
    </row>
    <row r="145" spans="2:7">
      <c r="B145" s="27" t="s">
        <v>1041</v>
      </c>
      <c r="C145" s="80">
        <f>IF('S4M Mixed measured'!G75="",0,N('S4M Mixed measured'!H124)*(DATE('S4M Mixed measured'!H115,12,31)-DATE('S4M Mixed measured'!H115,1,1)+1)*'S4M Mixed measured'!$F$22*'S4M Mixed measured'!$F$25*N('S4M Mixed measured'!G80)*IF('S4M Mixed measured'!G77="Septic tank emptied by the activity",0.5,IF('S4M Mixed measured'!G77="Pit latrine emptied by the activity",IF(N('S4M Mixed measured'!H124)&gt;0,MIN(1,N('S4M Mixed measured'!H125)*IF(ISNUMBER('S4M Mixed measured'!G84),'S4M Mixed measured'!G84,0.0018)*1000/(N('S4M Mixed measured'!H124)*(DATE('S4M Mixed measured'!H115,12,31)-DATE('S4M Mixed measured'!H115,1,1)+1)*'S4M Mixed measured'!$F$22)),0),1))*28/1000)+IF('S4M Mixed measured'!H75="",0,N('S4M Mixed measured'!H138)*(DATE('S4M Mixed measured'!H115,12,31)-DATE('S4M Mixed measured'!H115,1,1)+1)*'S4M Mixed measured'!$F$22*'S4M Mixed measured'!$F$25*N('S4M Mixed measured'!H80)*IF('S4M Mixed measured'!H77="Septic tank emptied by the activity",0.5,IF('S4M Mixed measured'!H77="Pit latrine emptied by the activity",IF(N('S4M Mixed measured'!H138)&gt;0,MIN(1,N('S4M Mixed measured'!H139)*IF(ISNUMBER('S4M Mixed measured'!H84),'S4M Mixed measured'!H84,0.0018)*1000/(N('S4M Mixed measured'!H138)*(DATE('S4M Mixed measured'!H115,12,31)-DATE('S4M Mixed measured'!H115,1,1)+1)*'S4M Mixed measured'!$F$22)),0),1))*28/1000)+IF('S4M Mixed measured'!I75="",0,N('S4M Mixed measured'!H152)*(DATE('S4M Mixed measured'!H115,12,31)-DATE('S4M Mixed measured'!H115,1,1)+1)*'S4M Mixed measured'!$F$22*'S4M Mixed measured'!$F$25*N('S4M Mixed measured'!I80)*IF('S4M Mixed measured'!I77="Septic tank emptied by the activity",0.5,IF('S4M Mixed measured'!I77="Pit latrine emptied by the activity",IF(N('S4M Mixed measured'!H152)&gt;0,MIN(1,N('S4M Mixed measured'!H153)*IF(ISNUMBER('S4M Mixed measured'!I84),'S4M Mixed measured'!I84,0.0018)*1000/(N('S4M Mixed measured'!H152)*(DATE('S4M Mixed measured'!H115,12,31)-DATE('S4M Mixed measured'!H115,1,1)+1)*'S4M Mixed measured'!$F$22)),0),1))*28/1000)+IF('S4M Mixed measured'!J75="",0,N('S4M Mixed measured'!H166)*(DATE('S4M Mixed measured'!H115,12,31)-DATE('S4M Mixed measured'!H115,1,1)+1)*'S4M Mixed measured'!$F$22*'S4M Mixed measured'!$F$25*N('S4M Mixed measured'!J80)*IF('S4M Mixed measured'!J77="Septic tank emptied by the activity",0.5,IF('S4M Mixed measured'!J77="Pit latrine emptied by the activity",IF(N('S4M Mixed measured'!H166)&gt;0,MIN(1,N('S4M Mixed measured'!H167)*IF(ISNUMBER('S4M Mixed measured'!J84),'S4M Mixed measured'!J84,0.0018)*1000/(N('S4M Mixed measured'!H166)*(DATE('S4M Mixed measured'!H115,12,31)-DATE('S4M Mixed measured'!H115,1,1)+1)*'S4M Mixed measured'!$F$22)),0),1))*28/1000)+IF('S4M Mixed measured'!K75="",0,N('S4M Mixed measured'!H180)*(DATE('S4M Mixed measured'!H115,12,31)-DATE('S4M Mixed measured'!H115,1,1)+1)*'S4M Mixed measured'!$F$22*'S4M Mixed measured'!$F$25*N('S4M Mixed measured'!K80)*IF('S4M Mixed measured'!K77="Septic tank emptied by the activity",0.5,IF('S4M Mixed measured'!K77="Pit latrine emptied by the activity",IF(N('S4M Mixed measured'!H180)&gt;0,MIN(1,N('S4M Mixed measured'!H181)*IF(ISNUMBER('S4M Mixed measured'!K84),'S4M Mixed measured'!K84,0.0018)*1000/(N('S4M Mixed measured'!H180)*(DATE('S4M Mixed measured'!H115,12,31)-DATE('S4M Mixed measured'!H115,1,1)+1)*'S4M Mixed measured'!$F$22)),0),1))*28/1000)</f>
        <v>23961.9473856</v>
      </c>
      <c r="D145" s="80">
        <f>'S4M Mixed measured'!H195</f>
        <v>23961.9473856</v>
      </c>
      <c r="E145" s="72">
        <v>9.9999999999999995E-7</v>
      </c>
      <c r="F145" s="75" t="str">
        <f t="shared" si="4"/>
        <v>PASS</v>
      </c>
      <c r="G145" s="33" t="s">
        <v>1011</v>
      </c>
    </row>
    <row r="146" spans="2:7">
      <c r="B146" s="27" t="s">
        <v>1042</v>
      </c>
      <c r="C146" s="79">
        <v>0</v>
      </c>
      <c r="D146" s="80">
        <f>MIN(0,MIN('S5 Refugee camp'!$G$244:$U$244))</f>
        <v>0</v>
      </c>
      <c r="E146" s="72">
        <v>0</v>
      </c>
      <c r="F146" s="75" t="str">
        <f t="shared" si="4"/>
        <v>PASS</v>
      </c>
      <c r="G146" s="33" t="s">
        <v>722</v>
      </c>
    </row>
    <row r="147" spans="2:7" ht="22.5">
      <c r="B147" s="27" t="s">
        <v>1043</v>
      </c>
      <c r="C147" s="72">
        <v>0</v>
      </c>
      <c r="D147" s="48">
        <f>SUMPRODUCT(('S5 Refugee camp'!$G$199:$U$199&gt;'S5 Refugee camp'!$G$198:$U$198+0.000001)*1)</f>
        <v>0</v>
      </c>
      <c r="E147" s="72">
        <v>0</v>
      </c>
      <c r="F147" s="75" t="str">
        <f t="shared" si="4"/>
        <v>PASS</v>
      </c>
      <c r="G147" s="33" t="s">
        <v>1005</v>
      </c>
    </row>
    <row r="148" spans="2:7">
      <c r="B148" s="27" t="s">
        <v>1044</v>
      </c>
      <c r="C148" s="72">
        <v>0</v>
      </c>
      <c r="D148" s="48">
        <f>ROUND(SUMPRODUCT(ABS('S5 Refugee camp'!$G$203:$U$203-('S5 Refugee camp'!$G$198:$U$198-'S5 Refugee camp'!$G$199:$U$199))),6)</f>
        <v>0</v>
      </c>
      <c r="E148" s="72">
        <v>0</v>
      </c>
      <c r="F148" s="75" t="str">
        <f t="shared" si="4"/>
        <v>PASS</v>
      </c>
      <c r="G148" s="33" t="s">
        <v>146</v>
      </c>
    </row>
    <row r="149" spans="2:7">
      <c r="B149" s="27" t="s">
        <v>1045</v>
      </c>
      <c r="C149" s="72">
        <v>0</v>
      </c>
      <c r="D149" s="48">
        <f>ROUND('S5 Refugee camp'!V243-('S5 Refugee camp'!V202-'S5 Refugee camp'!V222-'S5 Refugee camp'!V240),6)</f>
        <v>0</v>
      </c>
      <c r="E149" s="72">
        <v>0</v>
      </c>
      <c r="F149" s="75" t="str">
        <f t="shared" si="4"/>
        <v>PASS</v>
      </c>
      <c r="G149" s="33" t="s">
        <v>181</v>
      </c>
    </row>
    <row r="150" spans="2:7" ht="22.5">
      <c r="B150" s="27" t="s">
        <v>1046</v>
      </c>
      <c r="C150" s="72">
        <v>0</v>
      </c>
      <c r="D150" s="48">
        <f>ROUND(MAX(0,SUMPRODUCT(('S5 Refugee camp'!C225:C232&lt;&gt;"Tier 1")*('S5 Refugee camp'!C225:C232&lt;&gt;"")*'S5 Refugee camp'!V225:V232)+'S5 Refugee camp'!V234-SUMPRODUCT(('S5 Refugee camp'!G101:N101&lt;&gt;"Tier 1")*('S5 Refugee camp'!G101:N101&lt;&gt;"")*'S5 Refugee camp'!G107:N107)),6)</f>
        <v>0</v>
      </c>
      <c r="E150" s="72">
        <v>0</v>
      </c>
      <c r="F150" s="75" t="str">
        <f t="shared" si="4"/>
        <v>PASS</v>
      </c>
      <c r="G150" s="33" t="s">
        <v>1009</v>
      </c>
    </row>
    <row r="151" spans="2:7">
      <c r="B151" s="27" t="s">
        <v>1047</v>
      </c>
      <c r="C151" s="80">
        <f>IF('S5 Refugee camp'!G75="",0,N('S5 Refugee camp'!H124)*(DATE('S5 Refugee camp'!H115,12,31)-DATE('S5 Refugee camp'!H115,1,1)+1)*'S5 Refugee camp'!$F$22*'S5 Refugee camp'!$F$25*N('S5 Refugee camp'!G80)*IF('S5 Refugee camp'!G77="Septic tank emptied by the activity",0.5,IF('S5 Refugee camp'!G77="Pit latrine emptied by the activity",IF(N('S5 Refugee camp'!H124)&gt;0,MIN(1,N('S5 Refugee camp'!H125)*IF(ISNUMBER('S5 Refugee camp'!G84),'S5 Refugee camp'!G84,0.0018)*1000/(N('S5 Refugee camp'!H124)*(DATE('S5 Refugee camp'!H115,12,31)-DATE('S5 Refugee camp'!H115,1,1)+1)*'S5 Refugee camp'!$F$22)),0),1))*28/1000)+IF('S5 Refugee camp'!H75="",0,N('S5 Refugee camp'!H138)*(DATE('S5 Refugee camp'!H115,12,31)-DATE('S5 Refugee camp'!H115,1,1)+1)*'S5 Refugee camp'!$F$22*'S5 Refugee camp'!$F$25*N('S5 Refugee camp'!H80)*IF('S5 Refugee camp'!H77="Septic tank emptied by the activity",0.5,IF('S5 Refugee camp'!H77="Pit latrine emptied by the activity",IF(N('S5 Refugee camp'!H138)&gt;0,MIN(1,N('S5 Refugee camp'!H139)*IF(ISNUMBER('S5 Refugee camp'!H84),'S5 Refugee camp'!H84,0.0018)*1000/(N('S5 Refugee camp'!H138)*(DATE('S5 Refugee camp'!H115,12,31)-DATE('S5 Refugee camp'!H115,1,1)+1)*'S5 Refugee camp'!$F$22)),0),1))*28/1000)+IF('S5 Refugee camp'!I75="",0,N('S5 Refugee camp'!H152)*(DATE('S5 Refugee camp'!H115,12,31)-DATE('S5 Refugee camp'!H115,1,1)+1)*'S5 Refugee camp'!$F$22*'S5 Refugee camp'!$F$25*N('S5 Refugee camp'!I80)*IF('S5 Refugee camp'!I77="Septic tank emptied by the activity",0.5,IF('S5 Refugee camp'!I77="Pit latrine emptied by the activity",IF(N('S5 Refugee camp'!H152)&gt;0,MIN(1,N('S5 Refugee camp'!H153)*IF(ISNUMBER('S5 Refugee camp'!I84),'S5 Refugee camp'!I84,0.0018)*1000/(N('S5 Refugee camp'!H152)*(DATE('S5 Refugee camp'!H115,12,31)-DATE('S5 Refugee camp'!H115,1,1)+1)*'S5 Refugee camp'!$F$22)),0),1))*28/1000)+IF('S5 Refugee camp'!J75="",0,N('S5 Refugee camp'!H166)*(DATE('S5 Refugee camp'!H115,12,31)-DATE('S5 Refugee camp'!H115,1,1)+1)*'S5 Refugee camp'!$F$22*'S5 Refugee camp'!$F$25*N('S5 Refugee camp'!J80)*IF('S5 Refugee camp'!J77="Septic tank emptied by the activity",0.5,IF('S5 Refugee camp'!J77="Pit latrine emptied by the activity",IF(N('S5 Refugee camp'!H166)&gt;0,MIN(1,N('S5 Refugee camp'!H167)*IF(ISNUMBER('S5 Refugee camp'!J84),'S5 Refugee camp'!J84,0.0018)*1000/(N('S5 Refugee camp'!H166)*(DATE('S5 Refugee camp'!H115,12,31)-DATE('S5 Refugee camp'!H115,1,1)+1)*'S5 Refugee camp'!$F$22)),0),1))*28/1000)+IF('S5 Refugee camp'!K75="",0,N('S5 Refugee camp'!H180)*(DATE('S5 Refugee camp'!H115,12,31)-DATE('S5 Refugee camp'!H115,1,1)+1)*'S5 Refugee camp'!$F$22*'S5 Refugee camp'!$F$25*N('S5 Refugee camp'!K80)*IF('S5 Refugee camp'!K77="Septic tank emptied by the activity",0.5,IF('S5 Refugee camp'!K77="Pit latrine emptied by the activity",IF(N('S5 Refugee camp'!H180)&gt;0,MIN(1,N('S5 Refugee camp'!H181)*IF(ISNUMBER('S5 Refugee camp'!K84),'S5 Refugee camp'!K84,0.0018)*1000/(N('S5 Refugee camp'!H180)*(DATE('S5 Refugee camp'!H115,12,31)-DATE('S5 Refugee camp'!H115,1,1)+1)*'S5 Refugee camp'!$F$22)),0),1))*28/1000)</f>
        <v>2035.470024</v>
      </c>
      <c r="D151" s="80">
        <f>'S5 Refugee camp'!H195</f>
        <v>2035.470024</v>
      </c>
      <c r="E151" s="72">
        <v>9.9999999999999995E-7</v>
      </c>
      <c r="F151" s="75" t="str">
        <f t="shared" si="4"/>
        <v>PASS</v>
      </c>
      <c r="G151" s="33" t="s">
        <v>1011</v>
      </c>
    </row>
  </sheetData>
  <sheetProtection password="86E8" sheet="1" objects="1" scenarios="1" formatColumns="0" formatRows="0"/>
  <mergeCells count="2">
    <mergeCell ref="C3:E3"/>
    <mergeCell ref="B26:G26"/>
  </mergeCells>
  <conditionalFormatting sqref="F7:F151">
    <cfRule type="cellIs" dxfId="1" priority="1" operator="equal">
      <formula>"PASS"</formula>
    </cfRule>
    <cfRule type="cellIs" dxfId="0" priority="2" operator="equal">
      <formula>"FAIL"</formula>
    </cfRule>
  </conditionalFormatting>
  <pageMargins left="0.75" right="0.75" top="1" bottom="1" header="0.5" footer="0.5"/>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15151"/>
    <pageSetUpPr fitToPage="1"/>
  </sheetPr>
  <dimension ref="B1:I136"/>
  <sheetViews>
    <sheetView showGridLines="0" workbookViewId="0">
      <pane xSplit="2" ySplit="3" topLeftCell="C4" activePane="bottomRight" state="frozen"/>
      <selection pane="bottomRight"/>
      <selection pane="bottomLeft"/>
      <selection pane="topRight"/>
    </sheetView>
  </sheetViews>
  <sheetFormatPr defaultRowHeight="15"/>
  <cols>
    <col min="1" max="1" width="2" customWidth="1"/>
    <col min="2" max="2" width="50" customWidth="1"/>
    <col min="3" max="3" width="16" customWidth="1"/>
    <col min="4" max="8" width="13" customWidth="1"/>
    <col min="9" max="9" width="60" customWidth="1"/>
  </cols>
  <sheetData>
    <row r="1" spans="2:9" ht="26.1" customHeight="1">
      <c r="B1" s="22" t="s">
        <v>1048</v>
      </c>
      <c r="C1" s="22"/>
      <c r="D1" s="22"/>
      <c r="E1" s="22"/>
      <c r="F1" s="22"/>
      <c r="G1" s="22"/>
      <c r="H1" s="22"/>
      <c r="I1" s="22"/>
    </row>
    <row r="2" spans="2:9" ht="39.950000000000003" customHeight="1">
      <c r="B2" s="93" t="s">
        <v>1049</v>
      </c>
      <c r="C2" s="97"/>
      <c r="D2" s="97"/>
      <c r="E2" s="97"/>
      <c r="F2" s="97"/>
      <c r="G2" s="97"/>
      <c r="H2" s="97"/>
      <c r="I2" s="97"/>
    </row>
    <row r="4" spans="2:9" ht="20.100000000000001" customHeight="1">
      <c r="B4" s="20" t="s">
        <v>1050</v>
      </c>
      <c r="C4" s="20"/>
      <c r="D4" s="20"/>
      <c r="E4" s="20"/>
      <c r="F4" s="20"/>
      <c r="G4" s="20"/>
      <c r="H4" s="20"/>
      <c r="I4" s="20"/>
    </row>
    <row r="5" spans="2:9">
      <c r="B5" s="25" t="s">
        <v>189</v>
      </c>
      <c r="C5" s="25" t="s">
        <v>369</v>
      </c>
      <c r="D5" s="25" t="s">
        <v>372</v>
      </c>
      <c r="E5" s="25" t="s">
        <v>370</v>
      </c>
      <c r="F5" s="25"/>
      <c r="G5" s="25"/>
      <c r="H5" s="25"/>
      <c r="I5" s="25" t="s">
        <v>1051</v>
      </c>
    </row>
    <row r="6" spans="2:9">
      <c r="B6" s="27" t="s">
        <v>405</v>
      </c>
      <c r="C6" s="33" t="s">
        <v>406</v>
      </c>
      <c r="D6" s="72">
        <v>28</v>
      </c>
      <c r="E6" s="33" t="s">
        <v>407</v>
      </c>
      <c r="F6" s="33"/>
      <c r="G6" s="33"/>
      <c r="H6" s="33"/>
      <c r="I6" s="33" t="s">
        <v>1052</v>
      </c>
    </row>
    <row r="7" spans="2:9">
      <c r="B7" s="27" t="s">
        <v>408</v>
      </c>
      <c r="C7" s="33" t="s">
        <v>409</v>
      </c>
      <c r="D7" s="72">
        <v>265</v>
      </c>
      <c r="E7" s="33" t="s">
        <v>410</v>
      </c>
      <c r="F7" s="33"/>
      <c r="G7" s="33"/>
      <c r="H7" s="33"/>
      <c r="I7" s="33" t="s">
        <v>1053</v>
      </c>
    </row>
    <row r="8" spans="2:9" ht="21">
      <c r="B8" s="27" t="s">
        <v>1054</v>
      </c>
      <c r="C8" s="33" t="s">
        <v>202</v>
      </c>
      <c r="D8" s="76">
        <v>0.6</v>
      </c>
      <c r="E8" s="33" t="s">
        <v>390</v>
      </c>
      <c r="F8" s="33"/>
      <c r="G8" s="33"/>
      <c r="H8" s="33"/>
      <c r="I8" s="33" t="s">
        <v>1055</v>
      </c>
    </row>
    <row r="9" spans="2:9" ht="21">
      <c r="B9" s="27" t="s">
        <v>1056</v>
      </c>
      <c r="C9" s="33" t="s">
        <v>1057</v>
      </c>
      <c r="D9" s="76">
        <v>0.25</v>
      </c>
      <c r="E9" s="33" t="s">
        <v>1058</v>
      </c>
      <c r="F9" s="33"/>
      <c r="G9" s="33"/>
      <c r="H9" s="33"/>
      <c r="I9" s="33" t="s">
        <v>1059</v>
      </c>
    </row>
    <row r="10" spans="2:9">
      <c r="B10" s="27" t="s">
        <v>1060</v>
      </c>
      <c r="C10" s="33"/>
      <c r="D10" s="41">
        <f>ROUND(D9/D8,3)</f>
        <v>0.41699999999999998</v>
      </c>
      <c r="E10" s="33" t="s">
        <v>1061</v>
      </c>
      <c r="F10" s="33"/>
      <c r="G10" s="33"/>
      <c r="H10" s="33"/>
      <c r="I10" s="33" t="s">
        <v>1062</v>
      </c>
    </row>
    <row r="11" spans="2:9" ht="22.5">
      <c r="B11" s="27" t="s">
        <v>1063</v>
      </c>
      <c r="C11" s="33"/>
      <c r="D11" s="76">
        <v>1.5</v>
      </c>
      <c r="E11" s="33" t="s">
        <v>1064</v>
      </c>
      <c r="F11" s="33"/>
      <c r="G11" s="33"/>
      <c r="H11" s="33"/>
      <c r="I11" s="33" t="s">
        <v>385</v>
      </c>
    </row>
    <row r="12" spans="2:9" ht="22.5">
      <c r="B12" s="27" t="s">
        <v>1065</v>
      </c>
      <c r="C12" s="33" t="s">
        <v>316</v>
      </c>
      <c r="D12" s="76">
        <v>0.5</v>
      </c>
      <c r="E12" s="33" t="s">
        <v>398</v>
      </c>
      <c r="F12" s="33"/>
      <c r="G12" s="33"/>
      <c r="H12" s="33"/>
      <c r="I12" s="33" t="s">
        <v>1066</v>
      </c>
    </row>
    <row r="13" spans="2:9" ht="22.5">
      <c r="B13" s="27" t="s">
        <v>1067</v>
      </c>
      <c r="C13" s="33" t="s">
        <v>413</v>
      </c>
      <c r="D13" s="74">
        <v>1.8E-3</v>
      </c>
      <c r="E13" s="33" t="s">
        <v>1068</v>
      </c>
      <c r="F13" s="33"/>
      <c r="G13" s="33"/>
      <c r="H13" s="33"/>
      <c r="I13" s="33" t="s">
        <v>1069</v>
      </c>
    </row>
    <row r="14" spans="2:9" ht="22.5">
      <c r="B14" s="27" t="s">
        <v>1070</v>
      </c>
      <c r="C14" s="33"/>
      <c r="D14" s="76">
        <v>0.5</v>
      </c>
      <c r="E14" s="33" t="s">
        <v>471</v>
      </c>
      <c r="F14" s="33"/>
      <c r="G14" s="33"/>
      <c r="H14" s="33"/>
      <c r="I14" s="33" t="s">
        <v>487</v>
      </c>
    </row>
    <row r="15" spans="2:9">
      <c r="B15" s="27" t="s">
        <v>1071</v>
      </c>
      <c r="C15" s="33" t="s">
        <v>1072</v>
      </c>
      <c r="D15" s="76">
        <v>0.05</v>
      </c>
      <c r="E15" s="33" t="s">
        <v>398</v>
      </c>
      <c r="F15" s="33"/>
      <c r="G15" s="33"/>
      <c r="H15" s="33"/>
      <c r="I15" s="33" t="s">
        <v>491</v>
      </c>
    </row>
    <row r="16" spans="2:9">
      <c r="B16" s="27" t="s">
        <v>1073</v>
      </c>
      <c r="C16" s="33" t="s">
        <v>237</v>
      </c>
      <c r="D16" s="76">
        <v>0.56999999999999995</v>
      </c>
      <c r="E16" s="33" t="s">
        <v>398</v>
      </c>
      <c r="F16" s="33"/>
      <c r="G16" s="33"/>
      <c r="H16" s="33"/>
      <c r="I16" s="33" t="s">
        <v>1074</v>
      </c>
    </row>
    <row r="17" spans="2:9">
      <c r="B17" s="27" t="s">
        <v>1075</v>
      </c>
      <c r="C17" s="33" t="s">
        <v>397</v>
      </c>
      <c r="D17" s="81">
        <v>0.3</v>
      </c>
      <c r="E17" s="33" t="s">
        <v>398</v>
      </c>
      <c r="F17" s="33"/>
      <c r="G17" s="33"/>
      <c r="H17" s="33"/>
      <c r="I17" s="33" t="s">
        <v>1076</v>
      </c>
    </row>
    <row r="18" spans="2:9">
      <c r="B18" s="27" t="s">
        <v>1077</v>
      </c>
      <c r="C18" s="33" t="s">
        <v>402</v>
      </c>
      <c r="D18" s="81">
        <v>0.3</v>
      </c>
      <c r="E18" s="33" t="s">
        <v>398</v>
      </c>
      <c r="F18" s="33"/>
      <c r="G18" s="33"/>
      <c r="H18" s="33"/>
      <c r="I18" s="33" t="s">
        <v>1076</v>
      </c>
    </row>
    <row r="19" spans="2:9">
      <c r="B19" s="27" t="s">
        <v>1078</v>
      </c>
      <c r="C19" s="33" t="s">
        <v>1079</v>
      </c>
      <c r="D19" s="77">
        <v>1.282</v>
      </c>
      <c r="E19" s="33" t="s">
        <v>1080</v>
      </c>
      <c r="F19" s="33"/>
      <c r="G19" s="33"/>
      <c r="H19" s="33"/>
      <c r="I19" s="33" t="s">
        <v>185</v>
      </c>
    </row>
    <row r="20" spans="2:9">
      <c r="B20" s="27" t="s">
        <v>1081</v>
      </c>
      <c r="C20" s="33" t="s">
        <v>1079</v>
      </c>
      <c r="D20" s="77">
        <v>1.96</v>
      </c>
      <c r="E20" s="33" t="s">
        <v>1080</v>
      </c>
      <c r="F20" s="33"/>
      <c r="G20" s="33"/>
      <c r="H20" s="33"/>
      <c r="I20" s="33" t="s">
        <v>185</v>
      </c>
    </row>
    <row r="21" spans="2:9">
      <c r="B21" s="27" t="s">
        <v>1082</v>
      </c>
      <c r="C21" s="33" t="s">
        <v>538</v>
      </c>
      <c r="D21" s="45">
        <f>ROUND(D19/D20,4)</f>
        <v>0.65410000000000001</v>
      </c>
      <c r="E21" s="33" t="s">
        <v>1080</v>
      </c>
      <c r="F21" s="33"/>
      <c r="G21" s="33"/>
      <c r="H21" s="33"/>
      <c r="I21" s="33" t="s">
        <v>1083</v>
      </c>
    </row>
    <row r="22" spans="2:9">
      <c r="B22" s="27" t="s">
        <v>1084</v>
      </c>
      <c r="C22" s="33" t="s">
        <v>445</v>
      </c>
      <c r="D22" s="76">
        <v>1.3</v>
      </c>
      <c r="E22" s="33" t="s">
        <v>446</v>
      </c>
      <c r="F22" s="33"/>
      <c r="G22" s="33"/>
      <c r="H22" s="33"/>
      <c r="I22" s="33" t="s">
        <v>1085</v>
      </c>
    </row>
    <row r="23" spans="2:9" ht="21">
      <c r="B23" s="27" t="s">
        <v>1086</v>
      </c>
      <c r="C23" s="33" t="s">
        <v>1087</v>
      </c>
      <c r="D23" s="76">
        <v>0.16</v>
      </c>
      <c r="E23" s="33" t="s">
        <v>1088</v>
      </c>
      <c r="F23" s="33"/>
      <c r="G23" s="33"/>
      <c r="H23" s="33"/>
      <c r="I23" s="33" t="s">
        <v>1089</v>
      </c>
    </row>
    <row r="24" spans="2:9" ht="22.5">
      <c r="B24" s="27" t="s">
        <v>1090</v>
      </c>
      <c r="C24" s="33" t="s">
        <v>469</v>
      </c>
      <c r="D24" s="77">
        <v>0.01</v>
      </c>
      <c r="E24" s="33" t="s">
        <v>465</v>
      </c>
      <c r="F24" s="33"/>
      <c r="G24" s="33"/>
      <c r="H24" s="33"/>
      <c r="I24" s="33" t="s">
        <v>1091</v>
      </c>
    </row>
    <row r="25" spans="2:9" ht="22.5">
      <c r="B25" s="27" t="s">
        <v>1092</v>
      </c>
      <c r="C25" s="33" t="s">
        <v>1093</v>
      </c>
      <c r="D25" s="77">
        <v>1.6E-2</v>
      </c>
      <c r="E25" s="33" t="s">
        <v>465</v>
      </c>
      <c r="F25" s="33"/>
      <c r="G25" s="33"/>
      <c r="H25" s="33"/>
      <c r="I25" s="33" t="s">
        <v>1094</v>
      </c>
    </row>
    <row r="26" spans="2:9" ht="22.5">
      <c r="B26" s="27" t="s">
        <v>1095</v>
      </c>
      <c r="C26" s="33" t="s">
        <v>471</v>
      </c>
      <c r="D26" s="77">
        <v>0.11</v>
      </c>
      <c r="E26" s="33" t="s">
        <v>398</v>
      </c>
      <c r="F26" s="33"/>
      <c r="G26" s="33"/>
      <c r="H26" s="33"/>
      <c r="I26" s="33" t="s">
        <v>1096</v>
      </c>
    </row>
    <row r="27" spans="2:9">
      <c r="B27" s="27" t="s">
        <v>1097</v>
      </c>
      <c r="C27" s="33"/>
      <c r="D27" s="72">
        <v>14</v>
      </c>
      <c r="E27" s="33" t="s">
        <v>611</v>
      </c>
      <c r="F27" s="33"/>
      <c r="G27" s="33"/>
      <c r="H27" s="33"/>
      <c r="I27" s="33" t="s">
        <v>1098</v>
      </c>
    </row>
    <row r="28" spans="2:9">
      <c r="B28" s="27" t="s">
        <v>1099</v>
      </c>
      <c r="C28" s="33"/>
      <c r="D28" s="45">
        <f>44/28</f>
        <v>1.5714285714285714</v>
      </c>
      <c r="E28" s="33" t="s">
        <v>1080</v>
      </c>
      <c r="F28" s="33"/>
      <c r="G28" s="33"/>
      <c r="H28" s="33"/>
      <c r="I28" s="33" t="s">
        <v>1100</v>
      </c>
    </row>
    <row r="30" spans="2:9" ht="20.100000000000001" customHeight="1">
      <c r="B30" s="20" t="s">
        <v>1101</v>
      </c>
      <c r="C30" s="20"/>
      <c r="D30" s="20"/>
      <c r="E30" s="20"/>
      <c r="F30" s="20"/>
      <c r="G30" s="20"/>
      <c r="H30" s="20"/>
      <c r="I30" s="20"/>
    </row>
    <row r="31" spans="2:9" ht="38.1" customHeight="1">
      <c r="B31" s="25" t="s">
        <v>287</v>
      </c>
      <c r="C31" s="25" t="s">
        <v>1102</v>
      </c>
      <c r="D31" s="25" t="s">
        <v>1103</v>
      </c>
      <c r="E31" s="25" t="s">
        <v>1104</v>
      </c>
      <c r="F31" s="25" t="s">
        <v>1105</v>
      </c>
      <c r="G31" s="25"/>
      <c r="H31" s="25"/>
      <c r="I31" s="25" t="s">
        <v>324</v>
      </c>
    </row>
    <row r="32" spans="2:9" ht="21">
      <c r="B32" s="27" t="s">
        <v>1106</v>
      </c>
      <c r="C32" s="33" t="s">
        <v>1107</v>
      </c>
      <c r="D32" s="77">
        <v>0.04</v>
      </c>
      <c r="E32" s="76">
        <v>67.989999999999995</v>
      </c>
      <c r="F32" s="82"/>
      <c r="G32" s="33"/>
      <c r="H32" s="33"/>
      <c r="I32" s="33" t="s">
        <v>1108</v>
      </c>
    </row>
    <row r="33" spans="2:9" ht="21">
      <c r="B33" s="27" t="s">
        <v>1109</v>
      </c>
      <c r="C33" s="33" t="s">
        <v>1110</v>
      </c>
      <c r="D33" s="77">
        <v>0.05</v>
      </c>
      <c r="E33" s="76">
        <v>106.5</v>
      </c>
      <c r="F33" s="82"/>
      <c r="G33" s="33"/>
      <c r="H33" s="33"/>
      <c r="I33" s="33" t="s">
        <v>1108</v>
      </c>
    </row>
    <row r="34" spans="2:9">
      <c r="B34" s="27" t="s">
        <v>1111</v>
      </c>
      <c r="C34" s="33" t="s">
        <v>1112</v>
      </c>
      <c r="D34" s="77">
        <v>3.6999999999999998E-2</v>
      </c>
      <c r="E34" s="76">
        <v>92.56</v>
      </c>
      <c r="F34" s="82"/>
      <c r="G34" s="33"/>
      <c r="H34" s="33"/>
      <c r="I34" s="33" t="s">
        <v>1108</v>
      </c>
    </row>
    <row r="35" spans="2:9" ht="21">
      <c r="B35" s="27" t="s">
        <v>1113</v>
      </c>
      <c r="C35" s="33" t="s">
        <v>1107</v>
      </c>
      <c r="D35" s="77">
        <v>0.04</v>
      </c>
      <c r="E35" s="76">
        <v>64.430000000000007</v>
      </c>
      <c r="F35" s="82"/>
      <c r="G35" s="33"/>
      <c r="H35" s="33"/>
      <c r="I35" s="33" t="s">
        <v>1108</v>
      </c>
    </row>
    <row r="36" spans="2:9">
      <c r="B36" s="27" t="s">
        <v>1114</v>
      </c>
      <c r="C36" s="33" t="s">
        <v>1112</v>
      </c>
      <c r="D36" s="77">
        <v>3.6999999999999998E-2</v>
      </c>
      <c r="E36" s="76">
        <v>71.3</v>
      </c>
      <c r="F36" s="82"/>
      <c r="G36" s="33"/>
      <c r="H36" s="33"/>
      <c r="I36" s="33" t="s">
        <v>1108</v>
      </c>
    </row>
    <row r="37" spans="2:9">
      <c r="B37" s="27" t="s">
        <v>1115</v>
      </c>
      <c r="C37" s="33" t="s">
        <v>1112</v>
      </c>
      <c r="D37" s="77">
        <v>3.6999999999999998E-2</v>
      </c>
      <c r="E37" s="76">
        <v>65.010000000000005</v>
      </c>
      <c r="F37" s="82"/>
      <c r="G37" s="33"/>
      <c r="H37" s="33"/>
      <c r="I37" s="33" t="s">
        <v>1108</v>
      </c>
    </row>
    <row r="38" spans="2:9" ht="21">
      <c r="B38" s="27" t="s">
        <v>1116</v>
      </c>
      <c r="C38" s="33" t="s">
        <v>1117</v>
      </c>
      <c r="D38" s="77">
        <v>3.4000000000000002E-2</v>
      </c>
      <c r="E38" s="76">
        <v>89.77</v>
      </c>
      <c r="F38" s="82"/>
      <c r="G38" s="33"/>
      <c r="H38" s="33"/>
      <c r="I38" s="33" t="s">
        <v>1108</v>
      </c>
    </row>
    <row r="39" spans="2:9">
      <c r="B39" s="27" t="s">
        <v>1118</v>
      </c>
      <c r="C39" s="33" t="s">
        <v>1112</v>
      </c>
      <c r="D39" s="77">
        <v>3.6999999999999998E-2</v>
      </c>
      <c r="E39" s="76">
        <v>79.88</v>
      </c>
      <c r="F39" s="82"/>
      <c r="G39" s="33"/>
      <c r="H39" s="33"/>
      <c r="I39" s="33" t="s">
        <v>1108</v>
      </c>
    </row>
    <row r="40" spans="2:9">
      <c r="B40" s="27" t="s">
        <v>374</v>
      </c>
      <c r="C40" s="33" t="s">
        <v>1112</v>
      </c>
      <c r="D40" s="77">
        <v>3.6999999999999998E-2</v>
      </c>
      <c r="E40" s="76">
        <v>67.94</v>
      </c>
      <c r="F40" s="83">
        <v>2.76E-2</v>
      </c>
      <c r="G40" s="33"/>
      <c r="H40" s="33"/>
      <c r="I40" s="33"/>
    </row>
    <row r="41" spans="2:9" ht="21">
      <c r="B41" s="27" t="s">
        <v>1119</v>
      </c>
      <c r="C41" s="33" t="s">
        <v>1107</v>
      </c>
      <c r="D41" s="77">
        <v>0.04</v>
      </c>
      <c r="E41" s="76">
        <v>46.01</v>
      </c>
      <c r="F41" s="82"/>
      <c r="G41" s="33"/>
      <c r="H41" s="33"/>
      <c r="I41" s="33" t="s">
        <v>1108</v>
      </c>
    </row>
    <row r="42" spans="2:9" ht="21">
      <c r="B42" s="27" t="s">
        <v>753</v>
      </c>
      <c r="C42" s="33" t="s">
        <v>1120</v>
      </c>
      <c r="D42" s="77">
        <v>3.4000000000000002E-2</v>
      </c>
      <c r="E42" s="76">
        <v>74.569999999999993</v>
      </c>
      <c r="F42" s="83">
        <v>2.0400000000000001E-2</v>
      </c>
      <c r="G42" s="33"/>
      <c r="H42" s="33"/>
      <c r="I42" s="33"/>
    </row>
    <row r="43" spans="2:9" ht="21">
      <c r="B43" s="27" t="s">
        <v>1121</v>
      </c>
      <c r="C43" s="33" t="s">
        <v>1107</v>
      </c>
      <c r="D43" s="77">
        <v>0.04</v>
      </c>
      <c r="E43" s="76">
        <v>77.8</v>
      </c>
      <c r="F43" s="82"/>
      <c r="G43" s="33"/>
      <c r="H43" s="33"/>
      <c r="I43" s="33" t="s">
        <v>1108</v>
      </c>
    </row>
    <row r="44" spans="2:9">
      <c r="B44" s="27" t="s">
        <v>1122</v>
      </c>
      <c r="C44" s="33" t="s">
        <v>1112</v>
      </c>
      <c r="D44" s="77">
        <v>3.6999999999999998E-2</v>
      </c>
      <c r="E44" s="76">
        <v>55.77</v>
      </c>
      <c r="F44" s="82"/>
      <c r="G44" s="33"/>
      <c r="H44" s="33"/>
      <c r="I44" s="33" t="s">
        <v>1108</v>
      </c>
    </row>
    <row r="45" spans="2:9">
      <c r="B45" s="27" t="s">
        <v>1123</v>
      </c>
      <c r="C45" s="33" t="s">
        <v>1112</v>
      </c>
      <c r="D45" s="77">
        <v>3.6999999999999998E-2</v>
      </c>
      <c r="E45" s="76">
        <v>45.04</v>
      </c>
      <c r="F45" s="82"/>
      <c r="G45" s="33"/>
      <c r="H45" s="33"/>
      <c r="I45" s="33" t="s">
        <v>1108</v>
      </c>
    </row>
    <row r="46" spans="2:9">
      <c r="B46" s="27" t="s">
        <v>1124</v>
      </c>
      <c r="C46" s="33" t="s">
        <v>1112</v>
      </c>
      <c r="D46" s="77">
        <v>3.6999999999999998E-2</v>
      </c>
      <c r="E46" s="76">
        <v>39.53</v>
      </c>
      <c r="F46" s="82"/>
      <c r="G46" s="33"/>
      <c r="H46" s="33"/>
      <c r="I46" s="33" t="s">
        <v>1108</v>
      </c>
    </row>
    <row r="47" spans="2:9">
      <c r="B47" s="27" t="s">
        <v>1125</v>
      </c>
      <c r="C47" s="33" t="s">
        <v>1112</v>
      </c>
      <c r="D47" s="77">
        <v>3.6999999999999998E-2</v>
      </c>
      <c r="E47" s="76">
        <v>65.67</v>
      </c>
      <c r="F47" s="82"/>
      <c r="G47" s="33"/>
      <c r="H47" s="33"/>
      <c r="I47" s="33" t="s">
        <v>1108</v>
      </c>
    </row>
    <row r="48" spans="2:9">
      <c r="B48" s="27" t="s">
        <v>1126</v>
      </c>
      <c r="C48" s="33" t="s">
        <v>1112</v>
      </c>
      <c r="D48" s="77">
        <v>3.6999999999999998E-2</v>
      </c>
      <c r="E48" s="76">
        <v>44.69</v>
      </c>
      <c r="F48" s="82"/>
      <c r="G48" s="33"/>
      <c r="H48" s="33"/>
      <c r="I48" s="33" t="s">
        <v>1108</v>
      </c>
    </row>
    <row r="49" spans="2:9" ht="21">
      <c r="B49" s="27" t="s">
        <v>1127</v>
      </c>
      <c r="C49" s="33" t="s">
        <v>1107</v>
      </c>
      <c r="D49" s="77">
        <v>0.04</v>
      </c>
      <c r="E49" s="76">
        <v>78.39</v>
      </c>
      <c r="F49" s="82"/>
      <c r="G49" s="33"/>
      <c r="H49" s="33"/>
      <c r="I49" s="33" t="s">
        <v>1108</v>
      </c>
    </row>
    <row r="50" spans="2:9" ht="21">
      <c r="B50" s="27" t="s">
        <v>1128</v>
      </c>
      <c r="C50" s="33" t="s">
        <v>1107</v>
      </c>
      <c r="D50" s="77">
        <v>0.04</v>
      </c>
      <c r="E50" s="76">
        <v>81.739999999999995</v>
      </c>
      <c r="F50" s="82"/>
      <c r="G50" s="33"/>
      <c r="H50" s="33"/>
      <c r="I50" s="33" t="s">
        <v>1108</v>
      </c>
    </row>
    <row r="51" spans="2:9">
      <c r="B51" s="27" t="s">
        <v>1129</v>
      </c>
      <c r="C51" s="33" t="s">
        <v>1112</v>
      </c>
      <c r="D51" s="77">
        <v>3.6999999999999998E-2</v>
      </c>
      <c r="E51" s="76">
        <v>57.03</v>
      </c>
      <c r="F51" s="82"/>
      <c r="G51" s="33"/>
      <c r="H51" s="33"/>
      <c r="I51" s="33" t="s">
        <v>1108</v>
      </c>
    </row>
    <row r="52" spans="2:9" ht="21">
      <c r="B52" s="27" t="s">
        <v>1130</v>
      </c>
      <c r="C52" s="33" t="s">
        <v>1107</v>
      </c>
      <c r="D52" s="77">
        <v>0.04</v>
      </c>
      <c r="E52" s="76">
        <v>73.39</v>
      </c>
      <c r="F52" s="82"/>
      <c r="G52" s="33"/>
      <c r="H52" s="33"/>
      <c r="I52" s="33" t="s">
        <v>1108</v>
      </c>
    </row>
    <row r="53" spans="2:9" ht="21">
      <c r="B53" s="27" t="s">
        <v>1131</v>
      </c>
      <c r="C53" s="33" t="s">
        <v>1107</v>
      </c>
      <c r="D53" s="77">
        <v>0.04</v>
      </c>
      <c r="E53" s="76">
        <v>88.55</v>
      </c>
      <c r="F53" s="82"/>
      <c r="G53" s="33"/>
      <c r="H53" s="33"/>
      <c r="I53" s="33" t="s">
        <v>1108</v>
      </c>
    </row>
    <row r="54" spans="2:9" ht="21">
      <c r="B54" s="27" t="s">
        <v>1132</v>
      </c>
      <c r="C54" s="33" t="s">
        <v>1107</v>
      </c>
      <c r="D54" s="77">
        <v>0.04</v>
      </c>
      <c r="E54" s="76">
        <v>77.489999999999995</v>
      </c>
      <c r="F54" s="82"/>
      <c r="G54" s="33"/>
      <c r="H54" s="33"/>
      <c r="I54" s="33" t="s">
        <v>1108</v>
      </c>
    </row>
    <row r="55" spans="2:9">
      <c r="B55" s="27" t="s">
        <v>1133</v>
      </c>
      <c r="C55" s="33" t="s">
        <v>1112</v>
      </c>
      <c r="D55" s="77">
        <v>3.6999999999999998E-2</v>
      </c>
      <c r="E55" s="76">
        <v>57.05</v>
      </c>
      <c r="F55" s="82"/>
      <c r="G55" s="33"/>
      <c r="H55" s="33"/>
      <c r="I55" s="33" t="s">
        <v>1108</v>
      </c>
    </row>
    <row r="56" spans="2:9">
      <c r="B56" s="27" t="s">
        <v>1134</v>
      </c>
      <c r="C56" s="33" t="s">
        <v>1112</v>
      </c>
      <c r="D56" s="77">
        <v>3.6999999999999998E-2</v>
      </c>
      <c r="E56" s="76">
        <v>71.66</v>
      </c>
      <c r="F56" s="82"/>
      <c r="G56" s="33"/>
      <c r="H56" s="33"/>
      <c r="I56" s="33" t="s">
        <v>1108</v>
      </c>
    </row>
    <row r="57" spans="2:9">
      <c r="B57" s="27" t="s">
        <v>1135</v>
      </c>
      <c r="C57" s="33" t="s">
        <v>1112</v>
      </c>
      <c r="D57" s="77">
        <v>3.6999999999999998E-2</v>
      </c>
      <c r="E57" s="76">
        <v>57.58</v>
      </c>
      <c r="F57" s="82"/>
      <c r="G57" s="33"/>
      <c r="H57" s="33"/>
      <c r="I57" s="33" t="s">
        <v>1108</v>
      </c>
    </row>
    <row r="58" spans="2:9">
      <c r="B58" s="27" t="s">
        <v>1136</v>
      </c>
      <c r="C58" s="33" t="s">
        <v>1112</v>
      </c>
      <c r="D58" s="77">
        <v>3.6999999999999998E-2</v>
      </c>
      <c r="E58" s="76">
        <v>79.180000000000007</v>
      </c>
      <c r="F58" s="82"/>
      <c r="G58" s="33"/>
      <c r="H58" s="33"/>
      <c r="I58" s="33" t="s">
        <v>1108</v>
      </c>
    </row>
    <row r="59" spans="2:9" ht="21">
      <c r="B59" s="27" t="s">
        <v>1137</v>
      </c>
      <c r="C59" s="33" t="s">
        <v>1107</v>
      </c>
      <c r="D59" s="77">
        <v>0.04</v>
      </c>
      <c r="E59" s="76">
        <v>67.540000000000006</v>
      </c>
      <c r="F59" s="82"/>
      <c r="G59" s="33"/>
      <c r="H59" s="33"/>
      <c r="I59" s="33" t="s">
        <v>1108</v>
      </c>
    </row>
    <row r="60" spans="2:9">
      <c r="B60" s="27" t="s">
        <v>1138</v>
      </c>
      <c r="C60" s="33" t="s">
        <v>1112</v>
      </c>
      <c r="D60" s="77">
        <v>3.6999999999999998E-2</v>
      </c>
      <c r="E60" s="76">
        <v>60.46</v>
      </c>
      <c r="F60" s="82"/>
      <c r="G60" s="33"/>
      <c r="H60" s="33"/>
      <c r="I60" s="33" t="s">
        <v>1108</v>
      </c>
    </row>
    <row r="61" spans="2:9">
      <c r="B61" s="27" t="s">
        <v>1139</v>
      </c>
      <c r="C61" s="33" t="s">
        <v>1112</v>
      </c>
      <c r="D61" s="77">
        <v>3.6999999999999998E-2</v>
      </c>
      <c r="E61" s="76">
        <v>56.43</v>
      </c>
      <c r="F61" s="82"/>
      <c r="G61" s="33"/>
      <c r="H61" s="33"/>
      <c r="I61" s="33" t="s">
        <v>1108</v>
      </c>
    </row>
    <row r="62" spans="2:9" ht="21">
      <c r="B62" s="27" t="s">
        <v>1140</v>
      </c>
      <c r="C62" s="33" t="s">
        <v>1107</v>
      </c>
      <c r="D62" s="77">
        <v>0.04</v>
      </c>
      <c r="E62" s="76">
        <v>102.2</v>
      </c>
      <c r="F62" s="82"/>
      <c r="G62" s="33"/>
      <c r="H62" s="33"/>
      <c r="I62" s="33" t="s">
        <v>1108</v>
      </c>
    </row>
    <row r="63" spans="2:9">
      <c r="B63" s="27" t="s">
        <v>1141</v>
      </c>
      <c r="C63" s="33" t="s">
        <v>1112</v>
      </c>
      <c r="D63" s="77">
        <v>3.6999999999999998E-2</v>
      </c>
      <c r="E63" s="76">
        <v>48.26</v>
      </c>
      <c r="F63" s="82"/>
      <c r="G63" s="33"/>
      <c r="H63" s="33"/>
      <c r="I63" s="33" t="s">
        <v>1108</v>
      </c>
    </row>
    <row r="64" spans="2:9">
      <c r="B64" s="27" t="s">
        <v>1142</v>
      </c>
      <c r="C64" s="33" t="s">
        <v>1112</v>
      </c>
      <c r="D64" s="77">
        <v>3.6999999999999998E-2</v>
      </c>
      <c r="E64" s="76">
        <v>69.11</v>
      </c>
      <c r="F64" s="82"/>
      <c r="G64" s="33"/>
      <c r="H64" s="33"/>
      <c r="I64" s="33" t="s">
        <v>1108</v>
      </c>
    </row>
    <row r="65" spans="2:9" ht="51.95" customHeight="1">
      <c r="B65" s="94" t="s">
        <v>1143</v>
      </c>
      <c r="C65" s="97"/>
      <c r="D65" s="97"/>
      <c r="E65" s="97"/>
      <c r="F65" s="97"/>
      <c r="G65" s="97"/>
      <c r="H65" s="97"/>
      <c r="I65" s="97"/>
    </row>
    <row r="67" spans="2:9" ht="20.100000000000001" customHeight="1">
      <c r="B67" s="20" t="s">
        <v>1144</v>
      </c>
      <c r="C67" s="20"/>
      <c r="D67" s="20"/>
      <c r="E67" s="20"/>
      <c r="F67" s="20"/>
      <c r="G67" s="20"/>
      <c r="H67" s="20"/>
      <c r="I67" s="20"/>
    </row>
    <row r="68" spans="2:9" ht="38.1" customHeight="1">
      <c r="B68" s="25" t="s">
        <v>1145</v>
      </c>
      <c r="C68" s="25" t="s">
        <v>471</v>
      </c>
      <c r="D68" s="25" t="s">
        <v>476</v>
      </c>
      <c r="E68" s="25" t="s">
        <v>1146</v>
      </c>
      <c r="F68" s="25" t="s">
        <v>1147</v>
      </c>
      <c r="G68" s="25" t="s">
        <v>1148</v>
      </c>
      <c r="H68" s="25" t="s">
        <v>1149</v>
      </c>
      <c r="I68" s="25" t="s">
        <v>1150</v>
      </c>
    </row>
    <row r="69" spans="2:9" ht="21">
      <c r="B69" s="27" t="s">
        <v>1151</v>
      </c>
      <c r="C69" s="77">
        <v>0</v>
      </c>
      <c r="D69" s="84"/>
      <c r="E69" s="84"/>
      <c r="F69" s="33"/>
      <c r="G69" s="33"/>
      <c r="H69" s="76">
        <v>0.56999999999999995</v>
      </c>
      <c r="I69" s="33" t="s">
        <v>1152</v>
      </c>
    </row>
    <row r="70" spans="2:9">
      <c r="B70" s="27" t="s">
        <v>481</v>
      </c>
      <c r="C70" s="77">
        <v>0.1</v>
      </c>
      <c r="D70" s="77">
        <v>0.05</v>
      </c>
      <c r="E70" s="77">
        <v>0.15</v>
      </c>
      <c r="F70" s="54">
        <f>(C70-D70)/C70</f>
        <v>0.5</v>
      </c>
      <c r="G70" s="41">
        <f>1-Defaults!$D$21*SQRT(Defaults!$D$17^2+Defaults!$D$18^2+F70^2)</f>
        <v>0.57107794612540608</v>
      </c>
      <c r="H70" s="76">
        <v>0.56999999999999995</v>
      </c>
      <c r="I70" s="33" t="s">
        <v>1153</v>
      </c>
    </row>
    <row r="71" spans="2:9">
      <c r="B71" s="27" t="s">
        <v>738</v>
      </c>
      <c r="C71" s="77">
        <v>0.5</v>
      </c>
      <c r="D71" s="77">
        <v>0.4</v>
      </c>
      <c r="E71" s="77">
        <v>0.6</v>
      </c>
      <c r="F71" s="54">
        <f>(C71-D71)/C71</f>
        <v>0.19999999999999996</v>
      </c>
      <c r="G71" s="41">
        <f>1-Defaults!$D$21*SQRT(Defaults!$D$17^2+Defaults!$D$18^2+F71^2)</f>
        <v>0.69319990514994956</v>
      </c>
      <c r="H71" s="76">
        <v>0.69</v>
      </c>
      <c r="I71" s="33" t="s">
        <v>1153</v>
      </c>
    </row>
    <row r="72" spans="2:9">
      <c r="B72" s="27" t="s">
        <v>482</v>
      </c>
      <c r="C72" s="77">
        <v>0.7</v>
      </c>
      <c r="D72" s="77">
        <v>0.7</v>
      </c>
      <c r="E72" s="77">
        <v>1</v>
      </c>
      <c r="F72" s="54">
        <f>(C72-D72)/C72</f>
        <v>0</v>
      </c>
      <c r="G72" s="41">
        <f>1-Defaults!$D$21*SQRT(Defaults!$D$17^2+Defaults!$D$18^2+F72^2)</f>
        <v>0.72248887265552764</v>
      </c>
      <c r="H72" s="76">
        <v>0.72</v>
      </c>
      <c r="I72" s="33" t="s">
        <v>1153</v>
      </c>
    </row>
    <row r="73" spans="2:9">
      <c r="B73" s="27" t="s">
        <v>483</v>
      </c>
      <c r="C73" s="77">
        <v>0.55000000000000004</v>
      </c>
      <c r="D73" s="77">
        <v>0.4</v>
      </c>
      <c r="E73" s="77">
        <v>0.72</v>
      </c>
      <c r="F73" s="54">
        <f>(C73-D73)/C73</f>
        <v>0.27272727272727276</v>
      </c>
      <c r="G73" s="41">
        <f>1-Defaults!$D$21*SQRT(Defaults!$D$17^2+Defaults!$D$18^2+F73^2)</f>
        <v>0.67009737459929031</v>
      </c>
      <c r="H73" s="76">
        <v>0.67</v>
      </c>
      <c r="I73" s="33" t="s">
        <v>1153</v>
      </c>
    </row>
    <row r="74" spans="2:9">
      <c r="B74" s="27" t="s">
        <v>1154</v>
      </c>
      <c r="C74" s="77">
        <v>0.5</v>
      </c>
      <c r="D74" s="77">
        <v>0.4</v>
      </c>
      <c r="E74" s="77">
        <v>0.8</v>
      </c>
      <c r="F74" s="54">
        <f>(C74-D74)/C74</f>
        <v>0.19999999999999996</v>
      </c>
      <c r="G74" s="41">
        <f>1-Defaults!$D$21*SQRT(Defaults!$D$17^2+Defaults!$D$18^2+F74^2)</f>
        <v>0.69319990514994956</v>
      </c>
      <c r="H74" s="76">
        <v>0.69</v>
      </c>
      <c r="I74" s="33" t="s">
        <v>1153</v>
      </c>
    </row>
    <row r="75" spans="2:9" ht="21">
      <c r="B75" s="27" t="s">
        <v>484</v>
      </c>
      <c r="C75" s="77">
        <v>0</v>
      </c>
      <c r="D75" s="84"/>
      <c r="E75" s="84"/>
      <c r="F75" s="33"/>
      <c r="G75" s="33"/>
      <c r="H75" s="76">
        <v>0.56999999999999995</v>
      </c>
      <c r="I75" s="33" t="s">
        <v>1152</v>
      </c>
    </row>
    <row r="76" spans="2:9">
      <c r="B76" s="27" t="s">
        <v>1155</v>
      </c>
      <c r="C76" s="77">
        <v>0.11</v>
      </c>
      <c r="D76" s="77">
        <v>4.0000000000000001E-3</v>
      </c>
      <c r="E76" s="77">
        <v>0.27</v>
      </c>
      <c r="F76" s="54">
        <f>(C76-D76)/C76</f>
        <v>0.96363636363636362</v>
      </c>
      <c r="G76" s="41">
        <f>1-Defaults!$D$21*SQRT(Defaults!$D$17^2+Defaults!$D$18^2+F76^2)</f>
        <v>0.31129915637370509</v>
      </c>
      <c r="H76" s="76">
        <v>0.31</v>
      </c>
      <c r="I76" s="33" t="s">
        <v>1153</v>
      </c>
    </row>
    <row r="77" spans="2:9" ht="21">
      <c r="B77" s="27" t="s">
        <v>778</v>
      </c>
      <c r="C77" s="41">
        <f>C74+C76</f>
        <v>0.61</v>
      </c>
      <c r="D77" s="84"/>
      <c r="E77" s="84"/>
      <c r="F77" s="33"/>
      <c r="G77" s="33"/>
      <c r="H77" s="76">
        <v>0.31</v>
      </c>
      <c r="I77" s="33" t="s">
        <v>1156</v>
      </c>
    </row>
    <row r="78" spans="2:9" ht="21">
      <c r="B78" s="27" t="s">
        <v>1157</v>
      </c>
      <c r="C78" s="41">
        <f>C75+C76</f>
        <v>0.11</v>
      </c>
      <c r="D78" s="84"/>
      <c r="E78" s="84"/>
      <c r="F78" s="33"/>
      <c r="G78" s="33"/>
      <c r="H78" s="76">
        <v>0.31</v>
      </c>
      <c r="I78" s="33" t="s">
        <v>1158</v>
      </c>
    </row>
    <row r="79" spans="2:9" ht="21">
      <c r="B79" s="27" t="s">
        <v>512</v>
      </c>
      <c r="C79" s="77">
        <v>0</v>
      </c>
      <c r="D79" s="84"/>
      <c r="E79" s="84"/>
      <c r="F79" s="33"/>
      <c r="G79" s="33"/>
      <c r="H79" s="76">
        <v>0.56999999999999995</v>
      </c>
      <c r="I79" s="33" t="s">
        <v>1152</v>
      </c>
    </row>
    <row r="80" spans="2:9" ht="39.950000000000003" customHeight="1">
      <c r="B80" s="94" t="s">
        <v>1159</v>
      </c>
      <c r="C80" s="97"/>
      <c r="D80" s="97"/>
      <c r="E80" s="97"/>
      <c r="F80" s="97"/>
      <c r="G80" s="97"/>
      <c r="H80" s="97"/>
      <c r="I80" s="97"/>
    </row>
    <row r="82" spans="2:9" ht="20.100000000000001" customHeight="1">
      <c r="B82" s="20" t="s">
        <v>1160</v>
      </c>
      <c r="C82" s="20"/>
      <c r="D82" s="20"/>
      <c r="E82" s="20"/>
      <c r="F82" s="20"/>
      <c r="G82" s="20"/>
      <c r="H82" s="20"/>
      <c r="I82" s="20"/>
    </row>
    <row r="83" spans="2:9">
      <c r="B83" s="25" t="s">
        <v>1161</v>
      </c>
      <c r="C83" s="25" t="s">
        <v>471</v>
      </c>
      <c r="D83" s="25" t="s">
        <v>1162</v>
      </c>
      <c r="E83" s="25"/>
      <c r="F83" s="25"/>
      <c r="G83" s="25"/>
      <c r="H83" s="25"/>
      <c r="I83" s="25" t="s">
        <v>894</v>
      </c>
    </row>
    <row r="84" spans="2:9">
      <c r="B84" s="27" t="s">
        <v>760</v>
      </c>
      <c r="C84" s="77">
        <v>0.11</v>
      </c>
      <c r="D84" s="76">
        <v>0.31</v>
      </c>
      <c r="E84" s="33"/>
      <c r="F84" s="33"/>
      <c r="G84" s="33"/>
      <c r="H84" s="33"/>
      <c r="I84" s="33" t="s">
        <v>1163</v>
      </c>
    </row>
    <row r="85" spans="2:9">
      <c r="B85" s="27" t="s">
        <v>1164</v>
      </c>
      <c r="C85" s="77">
        <v>0.5</v>
      </c>
      <c r="D85" s="76">
        <v>0.69</v>
      </c>
      <c r="E85" s="33"/>
      <c r="F85" s="33"/>
      <c r="G85" s="33"/>
      <c r="H85" s="33"/>
      <c r="I85" s="33" t="s">
        <v>1165</v>
      </c>
    </row>
    <row r="86" spans="2:9">
      <c r="B86" s="27" t="s">
        <v>1166</v>
      </c>
      <c r="C86" s="77">
        <v>0</v>
      </c>
      <c r="D86" s="76">
        <v>0.56999999999999995</v>
      </c>
      <c r="E86" s="33"/>
      <c r="F86" s="33"/>
      <c r="G86" s="33"/>
      <c r="H86" s="33"/>
      <c r="I86" s="33" t="s">
        <v>1167</v>
      </c>
    </row>
    <row r="87" spans="2:9">
      <c r="B87" s="27" t="s">
        <v>1168</v>
      </c>
      <c r="C87" s="77">
        <v>0</v>
      </c>
      <c r="D87" s="76">
        <v>0.56999999999999995</v>
      </c>
      <c r="E87" s="33"/>
      <c r="F87" s="33"/>
      <c r="G87" s="33"/>
      <c r="H87" s="33"/>
      <c r="I87" s="33" t="s">
        <v>1169</v>
      </c>
    </row>
    <row r="89" spans="2:9" ht="20.100000000000001" customHeight="1">
      <c r="B89" s="20" t="s">
        <v>1170</v>
      </c>
      <c r="C89" s="20"/>
      <c r="D89" s="20"/>
      <c r="E89" s="20"/>
      <c r="F89" s="20"/>
      <c r="G89" s="20"/>
      <c r="H89" s="20"/>
      <c r="I89" s="20"/>
    </row>
    <row r="90" spans="2:9" ht="38.1" customHeight="1">
      <c r="B90" s="25" t="s">
        <v>1171</v>
      </c>
      <c r="C90" s="25" t="s">
        <v>1172</v>
      </c>
      <c r="D90" s="25" t="s">
        <v>471</v>
      </c>
      <c r="E90" s="25" t="s">
        <v>1173</v>
      </c>
      <c r="F90" s="25" t="s">
        <v>1174</v>
      </c>
      <c r="G90" s="25"/>
      <c r="H90" s="25"/>
      <c r="I90" s="25" t="s">
        <v>1150</v>
      </c>
    </row>
    <row r="91" spans="2:9">
      <c r="B91" s="27" t="s">
        <v>460</v>
      </c>
      <c r="C91" s="33" t="s">
        <v>1175</v>
      </c>
      <c r="D91" s="77">
        <v>0</v>
      </c>
      <c r="E91" s="85"/>
      <c r="F91" s="45">
        <v>0</v>
      </c>
      <c r="G91" s="33"/>
      <c r="H91" s="33"/>
      <c r="I91" s="33" t="s">
        <v>1176</v>
      </c>
    </row>
    <row r="92" spans="2:9" ht="21">
      <c r="B92" s="27" t="s">
        <v>740</v>
      </c>
      <c r="C92" s="33" t="s">
        <v>1177</v>
      </c>
      <c r="D92" s="77">
        <v>0.2</v>
      </c>
      <c r="E92" s="39"/>
      <c r="F92" s="45">
        <f>IF(ISNUMBER(E92),E92,Defaults!$D$25)</f>
        <v>1.6E-2</v>
      </c>
      <c r="G92" s="33"/>
      <c r="H92" s="33"/>
      <c r="I92" s="33" t="s">
        <v>1178</v>
      </c>
    </row>
    <row r="93" spans="2:9">
      <c r="B93" s="27" t="s">
        <v>1179</v>
      </c>
      <c r="C93" s="33" t="s">
        <v>1177</v>
      </c>
      <c r="D93" s="77">
        <v>0.2</v>
      </c>
      <c r="E93" s="39"/>
      <c r="F93" s="45">
        <f>IF(ISNUMBER(E93),E93,Defaults!$D$25)</f>
        <v>1.6E-2</v>
      </c>
      <c r="G93" s="33"/>
      <c r="H93" s="33"/>
      <c r="I93" s="33" t="s">
        <v>1180</v>
      </c>
    </row>
    <row r="94" spans="2:9">
      <c r="B94" s="27" t="s">
        <v>1181</v>
      </c>
      <c r="C94" s="33" t="s">
        <v>1177</v>
      </c>
      <c r="D94" s="77">
        <v>0.8</v>
      </c>
      <c r="E94" s="39"/>
      <c r="F94" s="45">
        <f>IF(ISNUMBER(E94),E94,Defaults!$D$25)</f>
        <v>1.6E-2</v>
      </c>
      <c r="G94" s="33"/>
      <c r="H94" s="33"/>
      <c r="I94" s="33" t="s">
        <v>1182</v>
      </c>
    </row>
    <row r="95" spans="2:9">
      <c r="B95" s="27" t="s">
        <v>540</v>
      </c>
      <c r="C95" s="33" t="s">
        <v>1183</v>
      </c>
      <c r="D95" s="77">
        <v>0</v>
      </c>
      <c r="E95" s="85"/>
      <c r="F95" s="45">
        <v>0</v>
      </c>
      <c r="G95" s="33"/>
      <c r="H95" s="33"/>
      <c r="I95" s="33" t="s">
        <v>1184</v>
      </c>
    </row>
    <row r="96" spans="2:9" ht="21">
      <c r="B96" s="27" t="s">
        <v>761</v>
      </c>
      <c r="C96" s="33" t="s">
        <v>1185</v>
      </c>
      <c r="D96" s="77">
        <v>0</v>
      </c>
      <c r="E96" s="85"/>
      <c r="F96" s="45">
        <v>0</v>
      </c>
      <c r="G96" s="33"/>
      <c r="H96" s="33"/>
      <c r="I96" s="33" t="s">
        <v>1186</v>
      </c>
    </row>
    <row r="97" spans="2:9" ht="21">
      <c r="B97" s="27" t="s">
        <v>780</v>
      </c>
      <c r="C97" s="33" t="s">
        <v>1187</v>
      </c>
      <c r="D97" s="77">
        <v>3.4000000000000002E-2</v>
      </c>
      <c r="E97" s="39"/>
      <c r="F97" s="45">
        <f>IF(ISNUMBER(E97),E97,Defaults!$D$25)</f>
        <v>1.6E-2</v>
      </c>
      <c r="G97" s="33"/>
      <c r="H97" s="33"/>
      <c r="I97" s="33" t="s">
        <v>1188</v>
      </c>
    </row>
    <row r="98" spans="2:9" ht="21">
      <c r="B98" s="27" t="s">
        <v>1189</v>
      </c>
      <c r="C98" s="33" t="s">
        <v>1187</v>
      </c>
      <c r="D98" s="77">
        <v>0.8</v>
      </c>
      <c r="E98" s="39"/>
      <c r="F98" s="45">
        <f>IF(ISNUMBER(E98),E98,Defaults!$D$25)</f>
        <v>1.6E-2</v>
      </c>
      <c r="G98" s="33"/>
      <c r="H98" s="33"/>
      <c r="I98" s="33" t="s">
        <v>1190</v>
      </c>
    </row>
    <row r="99" spans="2:9" ht="21">
      <c r="B99" s="27" t="s">
        <v>1191</v>
      </c>
      <c r="C99" s="33" t="s">
        <v>1187</v>
      </c>
      <c r="D99" s="77">
        <v>0.2</v>
      </c>
      <c r="E99" s="39"/>
      <c r="F99" s="45">
        <f>IF(ISNUMBER(E99),E99,Defaults!$D$25)</f>
        <v>1.6E-2</v>
      </c>
      <c r="G99" s="33"/>
      <c r="H99" s="33"/>
      <c r="I99" s="33" t="s">
        <v>1192</v>
      </c>
    </row>
    <row r="100" spans="2:9">
      <c r="B100" s="27" t="s">
        <v>1193</v>
      </c>
      <c r="C100" s="33" t="s">
        <v>1187</v>
      </c>
      <c r="D100" s="77">
        <v>0.8</v>
      </c>
      <c r="E100" s="39"/>
      <c r="F100" s="45">
        <f>IF(ISNUMBER(E100),E100,Defaults!$D$25)</f>
        <v>1.6E-2</v>
      </c>
      <c r="G100" s="33"/>
      <c r="H100" s="33"/>
      <c r="I100" s="33" t="s">
        <v>1194</v>
      </c>
    </row>
    <row r="101" spans="2:9" ht="21">
      <c r="B101" s="27" t="s">
        <v>779</v>
      </c>
      <c r="C101" s="33" t="s">
        <v>1175</v>
      </c>
      <c r="D101" s="77">
        <v>0</v>
      </c>
      <c r="E101" s="85"/>
      <c r="F101" s="45">
        <v>0</v>
      </c>
      <c r="G101" s="33"/>
      <c r="H101" s="33"/>
      <c r="I101" s="33" t="s">
        <v>1195</v>
      </c>
    </row>
    <row r="102" spans="2:9" ht="51.95" customHeight="1">
      <c r="B102" s="94" t="s">
        <v>1196</v>
      </c>
      <c r="C102" s="97"/>
      <c r="D102" s="97"/>
      <c r="E102" s="97"/>
      <c r="F102" s="97"/>
      <c r="G102" s="97"/>
      <c r="H102" s="97"/>
      <c r="I102" s="97"/>
    </row>
    <row r="104" spans="2:9" ht="20.100000000000001" customHeight="1">
      <c r="B104" s="20" t="s">
        <v>1197</v>
      </c>
      <c r="C104" s="20"/>
      <c r="D104" s="20"/>
      <c r="E104" s="20"/>
      <c r="F104" s="20"/>
      <c r="G104" s="20"/>
      <c r="H104" s="20"/>
      <c r="I104" s="20"/>
    </row>
    <row r="105" spans="2:9" ht="38.1" customHeight="1">
      <c r="B105" s="25" t="s">
        <v>1198</v>
      </c>
      <c r="C105" s="25" t="s">
        <v>1199</v>
      </c>
      <c r="D105" s="25" t="s">
        <v>1200</v>
      </c>
      <c r="E105" s="25" t="s">
        <v>1201</v>
      </c>
      <c r="F105" s="25" t="s">
        <v>1202</v>
      </c>
      <c r="G105" s="25"/>
      <c r="H105" s="25"/>
      <c r="I105" s="25" t="s">
        <v>1150</v>
      </c>
    </row>
    <row r="106" spans="2:9">
      <c r="B106" s="27" t="s">
        <v>460</v>
      </c>
      <c r="C106" s="72">
        <v>0</v>
      </c>
      <c r="D106" s="72">
        <v>0</v>
      </c>
      <c r="E106" s="72">
        <v>0</v>
      </c>
      <c r="F106" s="41">
        <f>C106*D106*E106/10^6</f>
        <v>0</v>
      </c>
      <c r="G106" s="33"/>
      <c r="H106" s="33"/>
      <c r="I106" s="33"/>
    </row>
    <row r="107" spans="2:9" ht="31.5">
      <c r="B107" s="27" t="s">
        <v>450</v>
      </c>
      <c r="C107" s="40">
        <v>0.84499999999999997</v>
      </c>
      <c r="D107" s="78">
        <v>43.3</v>
      </c>
      <c r="E107" s="86">
        <v>74800</v>
      </c>
      <c r="F107" s="41">
        <f>C107*D107*E107/10^6</f>
        <v>2.7368197999999997</v>
      </c>
      <c r="G107" s="33"/>
      <c r="H107" s="33"/>
      <c r="I107" s="33" t="s">
        <v>1203</v>
      </c>
    </row>
    <row r="108" spans="2:9" ht="21">
      <c r="B108" s="27" t="s">
        <v>1204</v>
      </c>
      <c r="C108" s="40">
        <v>0.77500000000000002</v>
      </c>
      <c r="D108" s="78">
        <v>44.8</v>
      </c>
      <c r="E108" s="86">
        <v>73000</v>
      </c>
      <c r="F108" s="41">
        <f>C108*D108*E108/10^6</f>
        <v>2.5345599999999999</v>
      </c>
      <c r="G108" s="33"/>
      <c r="H108" s="33"/>
      <c r="I108" s="33" t="s">
        <v>1205</v>
      </c>
    </row>
    <row r="110" spans="2:9" ht="20.100000000000001" customHeight="1">
      <c r="B110" s="20" t="s">
        <v>1206</v>
      </c>
      <c r="C110" s="20"/>
      <c r="D110" s="20"/>
      <c r="E110" s="20"/>
      <c r="F110" s="20"/>
      <c r="G110" s="20"/>
      <c r="H110" s="20"/>
      <c r="I110" s="20"/>
    </row>
    <row r="111" spans="2:9" ht="22.5">
      <c r="B111" s="25" t="s">
        <v>1207</v>
      </c>
      <c r="C111" s="25" t="s">
        <v>1208</v>
      </c>
      <c r="D111" s="25" t="s">
        <v>1209</v>
      </c>
      <c r="E111" s="25" t="s">
        <v>1210</v>
      </c>
      <c r="F111" s="25"/>
      <c r="G111" s="25"/>
      <c r="H111" s="25"/>
      <c r="I111" s="25" t="s">
        <v>324</v>
      </c>
    </row>
    <row r="112" spans="2:9" ht="21">
      <c r="B112" s="27" t="s">
        <v>769</v>
      </c>
      <c r="C112" s="76">
        <v>2.5</v>
      </c>
      <c r="D112" s="76">
        <v>2.5</v>
      </c>
      <c r="E112" s="33" t="s">
        <v>1211</v>
      </c>
      <c r="F112" s="33"/>
      <c r="G112" s="33"/>
      <c r="H112" s="33"/>
      <c r="I112" s="33" t="s">
        <v>1212</v>
      </c>
    </row>
    <row r="113" spans="2:9" ht="21">
      <c r="B113" s="27" t="s">
        <v>1213</v>
      </c>
      <c r="C113" s="76">
        <v>3.1</v>
      </c>
      <c r="D113" s="76">
        <v>3.4</v>
      </c>
      <c r="E113" s="33" t="s">
        <v>1211</v>
      </c>
      <c r="F113" s="33"/>
      <c r="G113" s="33"/>
      <c r="H113" s="33"/>
      <c r="I113" s="33" t="s">
        <v>1212</v>
      </c>
    </row>
    <row r="114" spans="2:9" ht="21">
      <c r="B114" s="27" t="s">
        <v>787</v>
      </c>
      <c r="C114" s="76">
        <v>2.4</v>
      </c>
      <c r="D114" s="76">
        <v>3.1</v>
      </c>
      <c r="E114" s="33" t="s">
        <v>1211</v>
      </c>
      <c r="F114" s="33"/>
      <c r="G114" s="33"/>
      <c r="H114" s="33"/>
      <c r="I114" s="33" t="s">
        <v>1212</v>
      </c>
    </row>
    <row r="115" spans="2:9" ht="21">
      <c r="B115" s="27" t="s">
        <v>1214</v>
      </c>
      <c r="C115" s="76">
        <v>8.1</v>
      </c>
      <c r="D115" s="76">
        <v>8.1</v>
      </c>
      <c r="E115" s="33" t="s">
        <v>1211</v>
      </c>
      <c r="F115" s="33"/>
      <c r="G115" s="33"/>
      <c r="H115" s="33"/>
      <c r="I115" s="33" t="s">
        <v>1212</v>
      </c>
    </row>
    <row r="116" spans="2:9" ht="21">
      <c r="B116" s="27" t="s">
        <v>582</v>
      </c>
      <c r="C116" s="76">
        <v>1.5</v>
      </c>
      <c r="D116" s="76">
        <v>1.6</v>
      </c>
      <c r="E116" s="33" t="s">
        <v>1211</v>
      </c>
      <c r="F116" s="33"/>
      <c r="G116" s="33"/>
      <c r="H116" s="33"/>
      <c r="I116" s="33" t="s">
        <v>1212</v>
      </c>
    </row>
    <row r="117" spans="2:9" ht="21">
      <c r="B117" s="27" t="s">
        <v>1215</v>
      </c>
      <c r="C117" s="76">
        <v>1.4</v>
      </c>
      <c r="D117" s="76">
        <v>2</v>
      </c>
      <c r="E117" s="33" t="s">
        <v>1211</v>
      </c>
      <c r="F117" s="33"/>
      <c r="G117" s="33"/>
      <c r="H117" s="33"/>
      <c r="I117" s="33" t="s">
        <v>1212</v>
      </c>
    </row>
    <row r="118" spans="2:9" ht="21">
      <c r="B118" s="27" t="s">
        <v>786</v>
      </c>
      <c r="C118" s="76">
        <v>6.1</v>
      </c>
      <c r="D118" s="76">
        <v>6.1</v>
      </c>
      <c r="E118" s="33" t="s">
        <v>1211</v>
      </c>
      <c r="F118" s="33"/>
      <c r="G118" s="33"/>
      <c r="H118" s="33"/>
      <c r="I118" s="33" t="s">
        <v>1212</v>
      </c>
    </row>
    <row r="119" spans="2:9" ht="21">
      <c r="B119" s="27" t="s">
        <v>583</v>
      </c>
      <c r="C119" s="76">
        <v>0.13</v>
      </c>
      <c r="D119" s="76">
        <v>0.18</v>
      </c>
      <c r="E119" s="33" t="s">
        <v>1211</v>
      </c>
      <c r="F119" s="33"/>
      <c r="G119" s="33"/>
      <c r="H119" s="33"/>
      <c r="I119" s="33" t="s">
        <v>1212</v>
      </c>
    </row>
    <row r="120" spans="2:9" ht="21">
      <c r="B120" s="27" t="s">
        <v>581</v>
      </c>
      <c r="C120" s="76">
        <v>0.1</v>
      </c>
      <c r="D120" s="76">
        <v>0.13</v>
      </c>
      <c r="E120" s="33" t="s">
        <v>1211</v>
      </c>
      <c r="F120" s="33"/>
      <c r="G120" s="33"/>
      <c r="H120" s="33"/>
      <c r="I120" s="33" t="s">
        <v>1212</v>
      </c>
    </row>
    <row r="121" spans="2:9" ht="21">
      <c r="B121" s="27" t="s">
        <v>1216</v>
      </c>
      <c r="C121" s="76">
        <v>0.9</v>
      </c>
      <c r="D121" s="76">
        <v>0.9</v>
      </c>
      <c r="E121" s="33" t="s">
        <v>1211</v>
      </c>
      <c r="F121" s="33"/>
      <c r="G121" s="33"/>
      <c r="H121" s="33"/>
      <c r="I121" s="33" t="s">
        <v>1212</v>
      </c>
    </row>
    <row r="122" spans="2:9" ht="21">
      <c r="B122" s="27" t="s">
        <v>1217</v>
      </c>
      <c r="C122" s="76">
        <v>0.21</v>
      </c>
      <c r="D122" s="76">
        <v>0.24</v>
      </c>
      <c r="E122" s="33" t="s">
        <v>1211</v>
      </c>
      <c r="F122" s="33"/>
      <c r="G122" s="33"/>
      <c r="H122" s="33"/>
      <c r="I122" s="33" t="s">
        <v>1212</v>
      </c>
    </row>
    <row r="123" spans="2:9" ht="21">
      <c r="B123" s="27" t="s">
        <v>1218</v>
      </c>
      <c r="C123" s="76">
        <v>1.9</v>
      </c>
      <c r="D123" s="76">
        <v>2</v>
      </c>
      <c r="E123" s="33" t="s">
        <v>1211</v>
      </c>
      <c r="F123" s="33"/>
      <c r="G123" s="33"/>
      <c r="H123" s="33"/>
      <c r="I123" s="33" t="s">
        <v>1212</v>
      </c>
    </row>
    <row r="124" spans="2:9" ht="21">
      <c r="B124" s="27" t="s">
        <v>1219</v>
      </c>
      <c r="C124" s="76">
        <v>9.1999999999999993</v>
      </c>
      <c r="D124" s="76">
        <v>9.1999999999999993</v>
      </c>
      <c r="E124" s="33" t="s">
        <v>1211</v>
      </c>
      <c r="F124" s="33"/>
      <c r="G124" s="33"/>
      <c r="H124" s="33"/>
      <c r="I124" s="33" t="s">
        <v>1212</v>
      </c>
    </row>
    <row r="125" spans="2:9" ht="31.5">
      <c r="B125" s="27" t="s">
        <v>580</v>
      </c>
      <c r="C125" s="76">
        <v>2.5</v>
      </c>
      <c r="D125" s="76">
        <v>2.5</v>
      </c>
      <c r="E125" s="33" t="s">
        <v>1220</v>
      </c>
      <c r="F125" s="33"/>
      <c r="G125" s="33"/>
      <c r="H125" s="33"/>
      <c r="I125" s="33" t="s">
        <v>1212</v>
      </c>
    </row>
    <row r="126" spans="2:9" ht="31.5">
      <c r="B126" s="27" t="s">
        <v>1221</v>
      </c>
      <c r="C126" s="76">
        <v>2300</v>
      </c>
      <c r="D126" s="76">
        <v>2400</v>
      </c>
      <c r="E126" s="33" t="s">
        <v>1222</v>
      </c>
      <c r="F126" s="33"/>
      <c r="G126" s="33"/>
      <c r="H126" s="33"/>
      <c r="I126" s="33" t="s">
        <v>1212</v>
      </c>
    </row>
    <row r="128" spans="2:9" ht="20.100000000000001" customHeight="1">
      <c r="B128" s="20" t="s">
        <v>1223</v>
      </c>
      <c r="C128" s="20"/>
      <c r="D128" s="20"/>
      <c r="E128" s="20"/>
      <c r="F128" s="20"/>
      <c r="G128" s="20"/>
      <c r="H128" s="20"/>
      <c r="I128" s="20"/>
    </row>
    <row r="129" spans="2:9">
      <c r="B129" s="25" t="s">
        <v>368</v>
      </c>
      <c r="C129" s="25" t="s">
        <v>372</v>
      </c>
      <c r="D129" s="25" t="s">
        <v>370</v>
      </c>
      <c r="E129" s="25"/>
      <c r="F129" s="25"/>
      <c r="G129" s="25"/>
      <c r="H129" s="25"/>
      <c r="I129" s="25" t="s">
        <v>1150</v>
      </c>
    </row>
    <row r="130" spans="2:9" ht="21">
      <c r="B130" s="27" t="s">
        <v>1224</v>
      </c>
      <c r="C130" s="72">
        <v>10</v>
      </c>
      <c r="D130" s="33" t="s">
        <v>1225</v>
      </c>
      <c r="E130" s="33"/>
      <c r="F130" s="33"/>
      <c r="G130" s="33"/>
      <c r="H130" s="33"/>
      <c r="I130" s="33" t="s">
        <v>1226</v>
      </c>
    </row>
    <row r="131" spans="2:9" ht="21">
      <c r="B131" s="27" t="s">
        <v>1227</v>
      </c>
      <c r="C131" s="72">
        <v>0.6</v>
      </c>
      <c r="D131" s="33" t="s">
        <v>1228</v>
      </c>
      <c r="E131" s="33"/>
      <c r="F131" s="33"/>
      <c r="G131" s="33"/>
      <c r="H131" s="33"/>
      <c r="I131" s="33" t="s">
        <v>1226</v>
      </c>
    </row>
    <row r="132" spans="2:9" ht="22.5">
      <c r="B132" s="27" t="s">
        <v>1229</v>
      </c>
      <c r="C132" s="72">
        <v>2</v>
      </c>
      <c r="D132" s="33" t="s">
        <v>1225</v>
      </c>
      <c r="E132" s="33"/>
      <c r="F132" s="33"/>
      <c r="G132" s="33"/>
      <c r="H132" s="33"/>
      <c r="I132" s="33" t="s">
        <v>1230</v>
      </c>
    </row>
    <row r="133" spans="2:9" ht="21">
      <c r="B133" s="27" t="s">
        <v>1231</v>
      </c>
      <c r="C133" s="72">
        <v>29</v>
      </c>
      <c r="D133" s="33" t="s">
        <v>419</v>
      </c>
      <c r="E133" s="33"/>
      <c r="F133" s="33"/>
      <c r="G133" s="33"/>
      <c r="H133" s="33"/>
      <c r="I133" s="33" t="s">
        <v>1232</v>
      </c>
    </row>
    <row r="134" spans="2:9">
      <c r="B134" s="27" t="s">
        <v>1233</v>
      </c>
      <c r="C134" s="72">
        <v>0.25</v>
      </c>
      <c r="D134" s="33" t="s">
        <v>1234</v>
      </c>
      <c r="E134" s="33"/>
      <c r="F134" s="33"/>
      <c r="G134" s="33"/>
      <c r="H134" s="33"/>
      <c r="I134" s="33" t="s">
        <v>1235</v>
      </c>
    </row>
    <row r="135" spans="2:9">
      <c r="B135" s="27" t="s">
        <v>1236</v>
      </c>
      <c r="C135" s="72">
        <v>8.9999999999999993E-3</v>
      </c>
      <c r="D135" s="33" t="s">
        <v>398</v>
      </c>
      <c r="E135" s="33"/>
      <c r="F135" s="33"/>
      <c r="G135" s="33"/>
      <c r="H135" s="33"/>
      <c r="I135" s="33" t="s">
        <v>1237</v>
      </c>
    </row>
    <row r="136" spans="2:9" ht="30" customHeight="1">
      <c r="B136" s="94" t="s">
        <v>1238</v>
      </c>
      <c r="C136" s="97"/>
      <c r="D136" s="97"/>
      <c r="E136" s="97"/>
      <c r="F136" s="97"/>
      <c r="G136" s="97"/>
      <c r="H136" s="97"/>
      <c r="I136" s="97"/>
    </row>
  </sheetData>
  <sheetProtection password="86E8" sheet="1" objects="1" scenarios="1" formatColumns="0" formatRows="0"/>
  <mergeCells count="5">
    <mergeCell ref="B2:I2"/>
    <mergeCell ref="B80:I80"/>
    <mergeCell ref="B136:I136"/>
    <mergeCell ref="B102:I102"/>
    <mergeCell ref="B65:I65"/>
  </mergeCells>
  <pageMargins left="0.75" right="0.75" top="1" bottom="1" header="0.5" footer="0.5"/>
  <pageSetup paperSize="9"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A6A6A6"/>
    <pageSetUpPr fitToPage="1"/>
  </sheetPr>
  <dimension ref="B1:P36"/>
  <sheetViews>
    <sheetView showGridLines="0" workbookViewId="0"/>
  </sheetViews>
  <sheetFormatPr defaultRowHeight="15"/>
  <cols>
    <col min="1" max="1" width="2" customWidth="1"/>
    <col min="2" max="15" width="34" customWidth="1"/>
    <col min="16" max="16" width="12" customWidth="1"/>
  </cols>
  <sheetData>
    <row r="1" spans="2:16" ht="24" customHeight="1">
      <c r="B1" s="22" t="s">
        <v>1239</v>
      </c>
      <c r="C1" s="22"/>
      <c r="D1" s="22"/>
      <c r="E1" s="22"/>
      <c r="F1" s="22"/>
      <c r="G1" s="22"/>
      <c r="H1" s="22"/>
      <c r="I1" s="22"/>
      <c r="J1" s="22"/>
      <c r="K1" s="22"/>
      <c r="L1" s="22"/>
      <c r="M1" s="22"/>
      <c r="N1" s="22"/>
      <c r="O1" s="22"/>
      <c r="P1" s="22"/>
    </row>
    <row r="3" spans="2:16" ht="22.5">
      <c r="B3" s="25" t="s">
        <v>287</v>
      </c>
      <c r="C3" s="25" t="s">
        <v>1145</v>
      </c>
      <c r="D3" s="25" t="s">
        <v>1240</v>
      </c>
      <c r="E3" s="25" t="s">
        <v>1241</v>
      </c>
      <c r="F3" s="25" t="s">
        <v>525</v>
      </c>
      <c r="G3" s="25" t="s">
        <v>1242</v>
      </c>
      <c r="H3" s="25" t="s">
        <v>1171</v>
      </c>
      <c r="I3" s="25" t="s">
        <v>1243</v>
      </c>
      <c r="J3" s="25" t="s">
        <v>1244</v>
      </c>
      <c r="K3" s="25" t="s">
        <v>1198</v>
      </c>
      <c r="L3" s="25" t="s">
        <v>1245</v>
      </c>
      <c r="M3" s="25" t="s">
        <v>1246</v>
      </c>
      <c r="N3" s="25" t="s">
        <v>577</v>
      </c>
      <c r="O3" s="25" t="s">
        <v>1247</v>
      </c>
      <c r="P3" s="25" t="s">
        <v>1248</v>
      </c>
    </row>
    <row r="4" spans="2:16" ht="22.5">
      <c r="B4" s="44" t="s">
        <v>1106</v>
      </c>
      <c r="C4" s="44" t="s">
        <v>511</v>
      </c>
      <c r="D4" s="44" t="s">
        <v>518</v>
      </c>
      <c r="E4" s="44" t="s">
        <v>521</v>
      </c>
      <c r="F4" s="44" t="s">
        <v>527</v>
      </c>
      <c r="G4" s="44" t="s">
        <v>496</v>
      </c>
      <c r="H4" s="44" t="s">
        <v>460</v>
      </c>
      <c r="I4" s="44" t="s">
        <v>382</v>
      </c>
      <c r="J4" s="44" t="s">
        <v>443</v>
      </c>
      <c r="K4" s="44" t="s">
        <v>460</v>
      </c>
      <c r="L4" s="44" t="s">
        <v>731</v>
      </c>
      <c r="M4" s="44" t="s">
        <v>574</v>
      </c>
      <c r="N4" s="44" t="s">
        <v>769</v>
      </c>
      <c r="O4" s="44" t="s">
        <v>762</v>
      </c>
      <c r="P4" s="44">
        <v>10</v>
      </c>
    </row>
    <row r="5" spans="2:16">
      <c r="B5" s="44" t="s">
        <v>1109</v>
      </c>
      <c r="C5" s="44" t="s">
        <v>1151</v>
      </c>
      <c r="D5" s="44" t="s">
        <v>759</v>
      </c>
      <c r="E5" s="44" t="s">
        <v>760</v>
      </c>
      <c r="F5" s="44" t="s">
        <v>733</v>
      </c>
      <c r="G5" s="44" t="s">
        <v>733</v>
      </c>
      <c r="H5" s="44" t="s">
        <v>740</v>
      </c>
      <c r="I5" s="44" t="s">
        <v>749</v>
      </c>
      <c r="J5" s="44" t="s">
        <v>754</v>
      </c>
      <c r="K5" s="44" t="s">
        <v>450</v>
      </c>
      <c r="L5" s="44" t="s">
        <v>457</v>
      </c>
      <c r="M5" s="44" t="s">
        <v>575</v>
      </c>
      <c r="N5" s="44" t="s">
        <v>1213</v>
      </c>
      <c r="O5" s="44" t="s">
        <v>552</v>
      </c>
      <c r="P5" s="44">
        <v>11</v>
      </c>
    </row>
    <row r="6" spans="2:16" ht="22.5">
      <c r="B6" s="44" t="s">
        <v>1111</v>
      </c>
      <c r="C6" s="44" t="s">
        <v>481</v>
      </c>
      <c r="D6" s="44" t="s">
        <v>739</v>
      </c>
      <c r="E6" s="44" t="s">
        <v>1164</v>
      </c>
      <c r="F6" s="44" t="s">
        <v>750</v>
      </c>
      <c r="H6" s="44" t="s">
        <v>1179</v>
      </c>
      <c r="K6" s="44" t="s">
        <v>1204</v>
      </c>
      <c r="M6" s="44" t="s">
        <v>576</v>
      </c>
      <c r="N6" s="44" t="s">
        <v>787</v>
      </c>
      <c r="P6" s="44">
        <v>12</v>
      </c>
    </row>
    <row r="7" spans="2:16" ht="22.5">
      <c r="B7" s="44" t="s">
        <v>1113</v>
      </c>
      <c r="C7" s="44" t="s">
        <v>738</v>
      </c>
      <c r="E7" s="44" t="s">
        <v>1166</v>
      </c>
      <c r="H7" s="44" t="s">
        <v>1181</v>
      </c>
      <c r="N7" s="44" t="s">
        <v>1214</v>
      </c>
      <c r="P7" s="44">
        <v>13</v>
      </c>
    </row>
    <row r="8" spans="2:16" ht="22.5">
      <c r="B8" s="44" t="s">
        <v>1114</v>
      </c>
      <c r="C8" s="44" t="s">
        <v>482</v>
      </c>
      <c r="E8" s="44" t="s">
        <v>1168</v>
      </c>
      <c r="H8" s="44" t="s">
        <v>779</v>
      </c>
      <c r="N8" s="44" t="s">
        <v>582</v>
      </c>
      <c r="P8" s="44">
        <v>14</v>
      </c>
    </row>
    <row r="9" spans="2:16">
      <c r="B9" s="44" t="s">
        <v>1115</v>
      </c>
      <c r="C9" s="44" t="s">
        <v>483</v>
      </c>
      <c r="H9" s="44" t="s">
        <v>540</v>
      </c>
      <c r="N9" s="44" t="s">
        <v>1215</v>
      </c>
      <c r="P9" s="44">
        <v>15</v>
      </c>
    </row>
    <row r="10" spans="2:16">
      <c r="B10" s="44" t="s">
        <v>1116</v>
      </c>
      <c r="C10" s="44" t="s">
        <v>1154</v>
      </c>
      <c r="H10" s="44" t="s">
        <v>761</v>
      </c>
      <c r="N10" s="44" t="s">
        <v>786</v>
      </c>
    </row>
    <row r="11" spans="2:16">
      <c r="B11" s="44" t="s">
        <v>1118</v>
      </c>
      <c r="C11" s="44" t="s">
        <v>484</v>
      </c>
      <c r="H11" s="44" t="s">
        <v>780</v>
      </c>
      <c r="N11" s="44" t="s">
        <v>583</v>
      </c>
    </row>
    <row r="12" spans="2:16">
      <c r="B12" s="44" t="s">
        <v>374</v>
      </c>
      <c r="C12" s="44" t="s">
        <v>1155</v>
      </c>
      <c r="H12" s="44" t="s">
        <v>1189</v>
      </c>
      <c r="N12" s="44" t="s">
        <v>581</v>
      </c>
    </row>
    <row r="13" spans="2:16" ht="22.5">
      <c r="B13" s="44" t="s">
        <v>1119</v>
      </c>
      <c r="C13" s="44" t="s">
        <v>778</v>
      </c>
      <c r="H13" s="44" t="s">
        <v>1191</v>
      </c>
      <c r="N13" s="44" t="s">
        <v>1216</v>
      </c>
    </row>
    <row r="14" spans="2:16" ht="22.5">
      <c r="B14" s="44" t="s">
        <v>753</v>
      </c>
      <c r="C14" s="44" t="s">
        <v>1157</v>
      </c>
      <c r="H14" s="44" t="s">
        <v>1193</v>
      </c>
      <c r="N14" s="44" t="s">
        <v>1217</v>
      </c>
    </row>
    <row r="15" spans="2:16">
      <c r="B15" s="44" t="s">
        <v>1121</v>
      </c>
      <c r="C15" s="44" t="s">
        <v>512</v>
      </c>
      <c r="N15" s="44" t="s">
        <v>1218</v>
      </c>
    </row>
    <row r="16" spans="2:16">
      <c r="B16" s="44" t="s">
        <v>1122</v>
      </c>
      <c r="N16" s="44" t="s">
        <v>1219</v>
      </c>
    </row>
    <row r="17" spans="2:14">
      <c r="B17" s="44" t="s">
        <v>1123</v>
      </c>
      <c r="N17" s="44" t="s">
        <v>580</v>
      </c>
    </row>
    <row r="18" spans="2:14">
      <c r="B18" s="44" t="s">
        <v>1124</v>
      </c>
      <c r="N18" s="44" t="s">
        <v>1221</v>
      </c>
    </row>
    <row r="19" spans="2:14">
      <c r="B19" s="44" t="s">
        <v>1125</v>
      </c>
    </row>
    <row r="20" spans="2:14">
      <c r="B20" s="44" t="s">
        <v>1126</v>
      </c>
    </row>
    <row r="21" spans="2:14">
      <c r="B21" s="44" t="s">
        <v>1127</v>
      </c>
    </row>
    <row r="22" spans="2:14">
      <c r="B22" s="44" t="s">
        <v>1128</v>
      </c>
    </row>
    <row r="23" spans="2:14">
      <c r="B23" s="44" t="s">
        <v>1129</v>
      </c>
    </row>
    <row r="24" spans="2:14">
      <c r="B24" s="44" t="s">
        <v>1130</v>
      </c>
    </row>
    <row r="25" spans="2:14">
      <c r="B25" s="44" t="s">
        <v>1131</v>
      </c>
    </row>
    <row r="26" spans="2:14">
      <c r="B26" s="44" t="s">
        <v>1132</v>
      </c>
    </row>
    <row r="27" spans="2:14">
      <c r="B27" s="44" t="s">
        <v>1133</v>
      </c>
    </row>
    <row r="28" spans="2:14">
      <c r="B28" s="44" t="s">
        <v>1134</v>
      </c>
    </row>
    <row r="29" spans="2:14">
      <c r="B29" s="44" t="s">
        <v>1135</v>
      </c>
    </row>
    <row r="30" spans="2:14">
      <c r="B30" s="44" t="s">
        <v>1136</v>
      </c>
    </row>
    <row r="31" spans="2:14">
      <c r="B31" s="44" t="s">
        <v>1137</v>
      </c>
    </row>
    <row r="32" spans="2:14">
      <c r="B32" s="44" t="s">
        <v>1138</v>
      </c>
    </row>
    <row r="33" spans="2:2">
      <c r="B33" s="44" t="s">
        <v>1139</v>
      </c>
    </row>
    <row r="34" spans="2:2">
      <c r="B34" s="44" t="s">
        <v>1140</v>
      </c>
    </row>
    <row r="35" spans="2:2">
      <c r="B35" s="44" t="s">
        <v>1141</v>
      </c>
    </row>
    <row r="36" spans="2:2">
      <c r="B36" s="44" t="s">
        <v>1142</v>
      </c>
    </row>
  </sheetData>
  <sheetProtection password="86E8" sheet="1" objects="1" scenarios="1" formatColumns="0" formatRows="0"/>
  <pageMargins left="0.75" right="0.75" top="1" bottom="1" header="0.5" footer="0.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c63ac8-f873-4864-a556-1526ed5fb1dd">
      <Terms xmlns="http://schemas.microsoft.com/office/infopath/2007/PartnerControls"/>
    </lcf76f155ced4ddcb4097134ff3c332f>
    <TaxCatchAll xmlns="b83aece0-62c2-469f-addf-c34b3ad5a9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915A58E75E724683C9EF54A4DEE385" ma:contentTypeVersion="15" ma:contentTypeDescription="Create a new document." ma:contentTypeScope="" ma:versionID="ad55eeab5960cfeaad34050dba95bdb0">
  <xsd:schema xmlns:xsd="http://www.w3.org/2001/XMLSchema" xmlns:xs="http://www.w3.org/2001/XMLSchema" xmlns:p="http://schemas.microsoft.com/office/2006/metadata/properties" xmlns:ns2="7dc63ac8-f873-4864-a556-1526ed5fb1dd" xmlns:ns3="b83aece0-62c2-469f-addf-c34b3ad5a904" targetNamespace="http://schemas.microsoft.com/office/2006/metadata/properties" ma:root="true" ma:fieldsID="cfdc523ad7e76973d295ff876cf96883" ns2:_="" ns3:_="">
    <xsd:import namespace="7dc63ac8-f873-4864-a556-1526ed5fb1dd"/>
    <xsd:import namespace="b83aece0-62c2-469f-addf-c34b3ad5a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63ac8-f873-4864-a556-1526ed5fb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f161edd-7b79-4478-98eb-f673e2ec4f9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3aece0-62c2-469f-addf-c34b3ad5a90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0eb0c7-d26c-4099-bb9e-4c18748980ce}" ma:internalName="TaxCatchAll" ma:showField="CatchAllData" ma:web="b83aece0-62c2-469f-addf-c34b3ad5a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6AD250-3F77-4732-AE10-CAC3B5E00DAE}"/>
</file>

<file path=customXml/itemProps2.xml><?xml version="1.0" encoding="utf-8"?>
<ds:datastoreItem xmlns:ds="http://schemas.openxmlformats.org/officeDocument/2006/customXml" ds:itemID="{A3823C43-6217-4F2D-9F4D-D987DF06070D}"/>
</file>

<file path=customXml/itemProps3.xml><?xml version="1.0" encoding="utf-8"?>
<ds:datastoreItem xmlns:ds="http://schemas.openxmlformats.org/officeDocument/2006/customXml" ds:itemID="{6810B771-E5E7-4D72-8373-3066FFFEC5F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SASS emission reductions calculation tool</dc:title>
  <dc:subject>GS4GG PAA M400-15, Safe Sanitation Services (SASS), Version 1.0</dc:subject>
  <dc:creator>Gold Standard</dc:creator>
  <cp:keywords/>
  <dc:description/>
  <cp:lastModifiedBy/>
  <cp:revision/>
  <dcterms:created xsi:type="dcterms:W3CDTF">2010-07-23T12:49:31Z</dcterms:created>
  <dcterms:modified xsi:type="dcterms:W3CDTF">2026-10-28T09:49:24Z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0x01010042915A58E75E724683C9EF54A4DEE385</vt:lpwstr>
  </property>
  <property fmtid="{D5CDD505-2E9C-101B-9397-08002B2CF9AE}" pid="3" name="MediaServiceImageTags">
    <vt:lpwstr/>
  </property>
  <property fmtid="{D5CDD505-2E9C-101B-9397-08002B2CF9AE}" pid="4" name="Order">
    <vt:i4>1873900</vt:i4>
  </property>
  <property fmtid="{D5CDD505-2E9C-101B-9397-08002B2CF9AE}" pid="5" name="xd_Signature">
    <vt:bool>false</vt:bool>
  </property>
  <property fmtid="{D5CDD505-2E9C-101B-9397-08002B2CF9AE}" pid="6" name="GUID">
    <vt:lpwstr>7820190d-e94f-4df1-81e9-0cfe388c9d09</vt:lpwstr>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