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showInkAnnotation="0" autoCompressPictures="0"/>
  <mc:AlternateContent xmlns:mc="http://schemas.openxmlformats.org/markup-compatibility/2006">
    <mc:Choice Requires="x15">
      <x15ac:absPath xmlns:x15ac="http://schemas.microsoft.com/office/spreadsheetml/2010/11/ac" url="/Users/ema.cima/Desktop/"/>
    </mc:Choice>
  </mc:AlternateContent>
  <xr:revisionPtr revIDLastSave="0" documentId="8_{A19ED1E5-2FF8-2649-A624-47AE99AA5470}" xr6:coauthVersionLast="47" xr6:coauthVersionMax="47" xr10:uidLastSave="{00000000-0000-0000-0000-000000000000}"/>
  <bookViews>
    <workbookView xWindow="0" yWindow="660" windowWidth="24660" windowHeight="16220" xr2:uid="{E0DBF3BE-8E57-4EF0-A399-470D369AD28C}"/>
  </bookViews>
  <sheets>
    <sheet name="Introduction" sheetId="8" r:id="rId1"/>
    <sheet name="Read me" sheetId="11" r:id="rId2"/>
    <sheet name="Defaults" sheetId="12" r:id="rId3"/>
    <sheet name="Host system" sheetId="13" r:id="rId4"/>
    <sheet name="GG Greenfield" sheetId="14" r:id="rId5"/>
    <sheet name="BO Brownfield" sheetId="15" r:id="rId6"/>
    <sheet name="ST Storage" sheetId="16" r:id="rId7"/>
    <sheet name="CG Captive" sheetId="17" r:id="rId8"/>
    <sheet name="VPP" sheetId="18" r:id="rId9"/>
    <sheet name="Integrated" sheetId="19" r:id="rId10"/>
    <sheet name="Crediting period" sheetId="20" r:id="rId11"/>
    <sheet name="Summary" sheetId="21" r:id="rId12"/>
  </sheets>
  <definedNames>
    <definedName name="_xlnm._FilterDatabase" localSheetId="0" hidden="1">Introduction!$B$8:$H$9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7" i="21" l="1"/>
  <c r="D6" i="21"/>
  <c r="D5" i="21"/>
  <c r="B52" i="20"/>
  <c r="B42" i="20"/>
  <c r="B32" i="20"/>
  <c r="L30" i="20"/>
  <c r="H30" i="20"/>
  <c r="G30" i="20"/>
  <c r="F30" i="20"/>
  <c r="E30" i="20"/>
  <c r="D30" i="20"/>
  <c r="C30" i="20"/>
  <c r="B23" i="20"/>
  <c r="M19" i="20"/>
  <c r="M20" i="20" s="1"/>
  <c r="I19" i="20"/>
  <c r="I20" i="20" s="1"/>
  <c r="N18" i="20"/>
  <c r="N19" i="20" s="1"/>
  <c r="N20" i="20" s="1"/>
  <c r="M18" i="20"/>
  <c r="K18" i="20"/>
  <c r="K19" i="20" s="1"/>
  <c r="K20" i="20" s="1"/>
  <c r="I18" i="20"/>
  <c r="P17" i="20"/>
  <c r="P18" i="20" s="1"/>
  <c r="P19" i="20" s="1"/>
  <c r="P20" i="20" s="1"/>
  <c r="O17" i="20"/>
  <c r="O18" i="20" s="1"/>
  <c r="O19" i="20" s="1"/>
  <c r="O20" i="20" s="1"/>
  <c r="N17" i="20"/>
  <c r="M17" i="20"/>
  <c r="L17" i="20"/>
  <c r="L18" i="20" s="1"/>
  <c r="L19" i="20" s="1"/>
  <c r="L20" i="20" s="1"/>
  <c r="K17" i="20"/>
  <c r="J17" i="20"/>
  <c r="J18" i="20" s="1"/>
  <c r="J19" i="20" s="1"/>
  <c r="J20" i="20" s="1"/>
  <c r="I17" i="20"/>
  <c r="H17" i="20"/>
  <c r="H18" i="20" s="1"/>
  <c r="H19" i="20" s="1"/>
  <c r="H20" i="20" s="1"/>
  <c r="G17" i="20"/>
  <c r="F17" i="20"/>
  <c r="E17" i="20"/>
  <c r="D17" i="20"/>
  <c r="C17" i="20"/>
  <c r="B17" i="20"/>
  <c r="B11" i="20"/>
  <c r="C38" i="19"/>
  <c r="C28" i="19"/>
  <c r="C29" i="19" s="1"/>
  <c r="C30" i="19" s="1"/>
  <c r="C31" i="19" s="1"/>
  <c r="C25" i="19"/>
  <c r="C24" i="19"/>
  <c r="C23" i="19"/>
  <c r="C22" i="19"/>
  <c r="C21" i="19"/>
  <c r="C20" i="19"/>
  <c r="C19" i="19"/>
  <c r="C18" i="19"/>
  <c r="C45" i="19" s="1"/>
  <c r="C17" i="19"/>
  <c r="C11" i="19"/>
  <c r="C49" i="18"/>
  <c r="C41" i="18"/>
  <c r="C46" i="18" s="1"/>
  <c r="C30" i="18"/>
  <c r="C31" i="18" s="1"/>
  <c r="C32" i="18" s="1"/>
  <c r="C33" i="18" s="1"/>
  <c r="C27" i="18"/>
  <c r="C26" i="18"/>
  <c r="C25" i="18"/>
  <c r="C24" i="18"/>
  <c r="C23" i="18"/>
  <c r="C22" i="18"/>
  <c r="C21" i="18"/>
  <c r="C40" i="18" s="1"/>
  <c r="C20" i="18"/>
  <c r="C19" i="18"/>
  <c r="C42" i="18" s="1"/>
  <c r="C18" i="18"/>
  <c r="C17" i="18"/>
  <c r="C16" i="18"/>
  <c r="C15" i="18"/>
  <c r="D47" i="17"/>
  <c r="C47" i="17"/>
  <c r="B47" i="17"/>
  <c r="N46" i="17"/>
  <c r="E46" i="17"/>
  <c r="F46" i="17" s="1"/>
  <c r="G46" i="17" s="1"/>
  <c r="E45" i="17"/>
  <c r="F45" i="17" s="1"/>
  <c r="G45" i="17" s="1"/>
  <c r="E44" i="17"/>
  <c r="F44" i="17" s="1"/>
  <c r="G44" i="17" s="1"/>
  <c r="E41" i="17"/>
  <c r="F41" i="17" s="1"/>
  <c r="G41" i="17" s="1"/>
  <c r="J39" i="17"/>
  <c r="J40" i="17" s="1"/>
  <c r="F39" i="17"/>
  <c r="G39" i="17" s="1"/>
  <c r="E39" i="17"/>
  <c r="K37" i="17"/>
  <c r="J37" i="17"/>
  <c r="J38" i="17" s="1"/>
  <c r="K38" i="17" s="1"/>
  <c r="E37" i="17"/>
  <c r="F37" i="17" s="1"/>
  <c r="G37" i="17" s="1"/>
  <c r="L37" i="17" s="1"/>
  <c r="M37" i="17" s="1"/>
  <c r="J36" i="17"/>
  <c r="K36" i="17" s="1"/>
  <c r="K35" i="17"/>
  <c r="J35" i="17"/>
  <c r="C27" i="17"/>
  <c r="C26" i="17"/>
  <c r="C25" i="17"/>
  <c r="C24" i="17"/>
  <c r="C23" i="17"/>
  <c r="C61" i="17" s="1"/>
  <c r="E8" i="21" s="1"/>
  <c r="C22" i="17"/>
  <c r="C21" i="17"/>
  <c r="C20" i="17"/>
  <c r="C19" i="17"/>
  <c r="C30" i="17" s="1"/>
  <c r="N40" i="17" s="1"/>
  <c r="C18" i="17"/>
  <c r="C17" i="17"/>
  <c r="E42" i="17" s="1"/>
  <c r="F42" i="17" s="1"/>
  <c r="G42" i="17" s="1"/>
  <c r="C16" i="17"/>
  <c r="C31" i="17" s="1"/>
  <c r="C15" i="17"/>
  <c r="C14" i="17"/>
  <c r="C13" i="17"/>
  <c r="C71" i="16"/>
  <c r="C69" i="16"/>
  <c r="C70" i="16" s="1"/>
  <c r="E67" i="16"/>
  <c r="E66" i="16"/>
  <c r="C53" i="16"/>
  <c r="B47" i="16"/>
  <c r="J47" i="16" s="1"/>
  <c r="J46" i="16"/>
  <c r="B46" i="16"/>
  <c r="D45" i="16"/>
  <c r="B45" i="16"/>
  <c r="D44" i="16"/>
  <c r="B44" i="16"/>
  <c r="D43" i="16"/>
  <c r="B43" i="16"/>
  <c r="J43" i="16" s="1"/>
  <c r="D42" i="16"/>
  <c r="J42" i="16" s="1"/>
  <c r="B42" i="16"/>
  <c r="B41" i="16"/>
  <c r="J41" i="16" s="1"/>
  <c r="B40" i="16"/>
  <c r="B39" i="16"/>
  <c r="J39" i="16" s="1"/>
  <c r="B38" i="16"/>
  <c r="J38" i="16" s="1"/>
  <c r="C37" i="16"/>
  <c r="B37" i="16"/>
  <c r="C36" i="16"/>
  <c r="B36" i="16"/>
  <c r="C35" i="16"/>
  <c r="B35" i="16"/>
  <c r="C34" i="16"/>
  <c r="C48" i="16" s="1"/>
  <c r="B34" i="16"/>
  <c r="J34" i="16" s="1"/>
  <c r="J33" i="16"/>
  <c r="B33" i="16"/>
  <c r="B32" i="16"/>
  <c r="B31" i="16"/>
  <c r="B30" i="16"/>
  <c r="J29" i="16"/>
  <c r="B29" i="16"/>
  <c r="J28" i="16"/>
  <c r="B28" i="16"/>
  <c r="J27" i="16"/>
  <c r="B27" i="16"/>
  <c r="B26" i="16"/>
  <c r="J26" i="16" s="1"/>
  <c r="B25" i="16"/>
  <c r="J24" i="16"/>
  <c r="F24" i="16"/>
  <c r="E24" i="16"/>
  <c r="G24" i="16" s="1"/>
  <c r="B24" i="16"/>
  <c r="C20" i="16"/>
  <c r="C19" i="16"/>
  <c r="C18" i="16"/>
  <c r="C58" i="16" s="1"/>
  <c r="C17" i="16"/>
  <c r="C57" i="16" s="1"/>
  <c r="C16" i="16"/>
  <c r="J40" i="16" s="1"/>
  <c r="C30" i="15"/>
  <c r="C46" i="15" s="1"/>
  <c r="C48" i="15" s="1"/>
  <c r="C29" i="15"/>
  <c r="C28" i="15"/>
  <c r="C27" i="15"/>
  <c r="C26" i="15"/>
  <c r="C25" i="15"/>
  <c r="C24" i="15"/>
  <c r="C23" i="15"/>
  <c r="D10" i="15"/>
  <c r="C12" i="15" s="1"/>
  <c r="C14" i="15" s="1"/>
  <c r="C15" i="15" s="1"/>
  <c r="D9" i="15"/>
  <c r="D8" i="15"/>
  <c r="C25" i="14"/>
  <c r="C26" i="14" s="1"/>
  <c r="C24" i="14"/>
  <c r="C20" i="14"/>
  <c r="C19" i="14"/>
  <c r="C18" i="14"/>
  <c r="C17" i="14"/>
  <c r="C16" i="14"/>
  <c r="C15" i="14"/>
  <c r="C11" i="14"/>
  <c r="C23" i="14" s="1"/>
  <c r="F18" i="20" l="1"/>
  <c r="F19" i="20" s="1"/>
  <c r="F20" i="20" s="1"/>
  <c r="E18" i="20"/>
  <c r="E19" i="20" s="1"/>
  <c r="E20" i="20" s="1"/>
  <c r="C34" i="15"/>
  <c r="C35" i="15" s="1"/>
  <c r="C36" i="15" s="1"/>
  <c r="C37" i="15" s="1"/>
  <c r="C38" i="15" s="1"/>
  <c r="B18" i="20"/>
  <c r="B19" i="20" s="1"/>
  <c r="G18" i="20"/>
  <c r="G19" i="20" s="1"/>
  <c r="G20" i="20" s="1"/>
  <c r="D18" i="20"/>
  <c r="D19" i="20" s="1"/>
  <c r="D20" i="20" s="1"/>
  <c r="I22" i="20"/>
  <c r="P22" i="20"/>
  <c r="I24" i="16"/>
  <c r="E25" i="16" s="1"/>
  <c r="G25" i="16" s="1"/>
  <c r="H24" i="16"/>
  <c r="K21" i="20"/>
  <c r="I21" i="20"/>
  <c r="H21" i="20"/>
  <c r="G21" i="20"/>
  <c r="F21" i="20"/>
  <c r="O21" i="20"/>
  <c r="O22" i="20" s="1"/>
  <c r="N21" i="20"/>
  <c r="N22" i="20" s="1"/>
  <c r="L21" i="20"/>
  <c r="L22" i="20" s="1"/>
  <c r="J21" i="20"/>
  <c r="J22" i="20" s="1"/>
  <c r="E6" i="21"/>
  <c r="E21" i="20"/>
  <c r="D21" i="20"/>
  <c r="C21" i="20"/>
  <c r="B21" i="20"/>
  <c r="P21" i="20"/>
  <c r="M21" i="20"/>
  <c r="C35" i="18"/>
  <c r="C34" i="18"/>
  <c r="C28" i="14"/>
  <c r="C27" i="14"/>
  <c r="C29" i="14" s="1"/>
  <c r="L39" i="17"/>
  <c r="M39" i="17" s="1"/>
  <c r="K22" i="20"/>
  <c r="K39" i="17"/>
  <c r="M22" i="20"/>
  <c r="J44" i="16"/>
  <c r="D48" i="16"/>
  <c r="C51" i="16" s="1"/>
  <c r="K40" i="20"/>
  <c r="I40" i="20"/>
  <c r="E9" i="21"/>
  <c r="F40" i="20"/>
  <c r="E40" i="20"/>
  <c r="D40" i="20"/>
  <c r="B40" i="20"/>
  <c r="P40" i="20"/>
  <c r="O40" i="20"/>
  <c r="N40" i="20"/>
  <c r="M40" i="20"/>
  <c r="C18" i="20"/>
  <c r="C19" i="20" s="1"/>
  <c r="C20" i="20" s="1"/>
  <c r="C22" i="20" s="1"/>
  <c r="C40" i="20"/>
  <c r="C35" i="14"/>
  <c r="C37" i="14" s="1"/>
  <c r="C42" i="19"/>
  <c r="G40" i="20"/>
  <c r="H22" i="20"/>
  <c r="N45" i="17"/>
  <c r="N42" i="17"/>
  <c r="N39" i="17"/>
  <c r="N36" i="17"/>
  <c r="N43" i="17"/>
  <c r="N41" i="17"/>
  <c r="N38" i="17"/>
  <c r="N37" i="17"/>
  <c r="N35" i="17"/>
  <c r="N44" i="17"/>
  <c r="J41" i="17"/>
  <c r="K40" i="17"/>
  <c r="C33" i="19"/>
  <c r="C32" i="19"/>
  <c r="J45" i="16"/>
  <c r="H40" i="20"/>
  <c r="J40" i="20"/>
  <c r="L40" i="20"/>
  <c r="J37" i="16"/>
  <c r="M30" i="20"/>
  <c r="E7" i="21"/>
  <c r="K30" i="20"/>
  <c r="P30" i="20"/>
  <c r="B30" i="20"/>
  <c r="O30" i="20"/>
  <c r="N30" i="20"/>
  <c r="J32" i="16"/>
  <c r="C36" i="18"/>
  <c r="I30" i="20"/>
  <c r="J35" i="16"/>
  <c r="E35" i="17"/>
  <c r="E40" i="17"/>
  <c r="F40" i="17" s="1"/>
  <c r="G40" i="17" s="1"/>
  <c r="E36" i="17"/>
  <c r="F36" i="17" s="1"/>
  <c r="G36" i="17" s="1"/>
  <c r="L36" i="17" s="1"/>
  <c r="M36" i="17" s="1"/>
  <c r="E38" i="17"/>
  <c r="F38" i="17" s="1"/>
  <c r="G38" i="17" s="1"/>
  <c r="L38" i="17" s="1"/>
  <c r="M38" i="17" s="1"/>
  <c r="E43" i="17"/>
  <c r="F43" i="17" s="1"/>
  <c r="G43" i="17" s="1"/>
  <c r="J30" i="20"/>
  <c r="C13" i="15"/>
  <c r="J25" i="16"/>
  <c r="J36" i="16"/>
  <c r="C52" i="16"/>
  <c r="C56" i="16" s="1"/>
  <c r="J31" i="16"/>
  <c r="C44" i="18"/>
  <c r="C43" i="18"/>
  <c r="C39" i="19"/>
  <c r="C41" i="19" s="1"/>
  <c r="C48" i="19"/>
  <c r="J30" i="16"/>
  <c r="K8" i="20" l="1"/>
  <c r="K10" i="20" s="1"/>
  <c r="C5" i="21"/>
  <c r="I8" i="20"/>
  <c r="I10" i="20" s="1"/>
  <c r="H8" i="20"/>
  <c r="H10" i="20" s="1"/>
  <c r="G8" i="20"/>
  <c r="G10" i="20" s="1"/>
  <c r="F8" i="20"/>
  <c r="M8" i="20"/>
  <c r="L8" i="20"/>
  <c r="E8" i="20"/>
  <c r="D8" i="20"/>
  <c r="C34" i="14"/>
  <c r="C38" i="14" s="1"/>
  <c r="C39" i="14" s="1"/>
  <c r="F5" i="21" s="1"/>
  <c r="C8" i="20"/>
  <c r="C10" i="20" s="1"/>
  <c r="B8" i="20"/>
  <c r="P8" i="20"/>
  <c r="P10" i="20" s="1"/>
  <c r="O8" i="20"/>
  <c r="O10" i="20" s="1"/>
  <c r="N8" i="20"/>
  <c r="N10" i="20" s="1"/>
  <c r="J8" i="20"/>
  <c r="J10" i="20" s="1"/>
  <c r="G38" i="20"/>
  <c r="E38" i="20"/>
  <c r="J38" i="20"/>
  <c r="I38" i="20"/>
  <c r="H38" i="20"/>
  <c r="O38" i="20"/>
  <c r="N38" i="20"/>
  <c r="L38" i="20"/>
  <c r="K38" i="20"/>
  <c r="F38" i="20"/>
  <c r="D38" i="20"/>
  <c r="C38" i="20"/>
  <c r="B38" i="20"/>
  <c r="P38" i="20"/>
  <c r="M38" i="20"/>
  <c r="J42" i="17"/>
  <c r="K41" i="17"/>
  <c r="L41" i="17" s="1"/>
  <c r="M41" i="17" s="1"/>
  <c r="Q40" i="20"/>
  <c r="N47" i="17"/>
  <c r="C59" i="17" s="1"/>
  <c r="D8" i="21" s="1"/>
  <c r="Q30" i="20"/>
  <c r="D22" i="20"/>
  <c r="G9" i="20"/>
  <c r="E9" i="20"/>
  <c r="H9" i="20"/>
  <c r="D9" i="20"/>
  <c r="E5" i="21"/>
  <c r="F9" i="20"/>
  <c r="N9" i="20"/>
  <c r="M9" i="20"/>
  <c r="K9" i="20"/>
  <c r="J9" i="20"/>
  <c r="I9" i="20"/>
  <c r="C9" i="20"/>
  <c r="P9" i="20"/>
  <c r="O9" i="20"/>
  <c r="L9" i="20"/>
  <c r="B9" i="20"/>
  <c r="Q21" i="20"/>
  <c r="G22" i="20"/>
  <c r="Q19" i="20"/>
  <c r="B20" i="20"/>
  <c r="C35" i="19"/>
  <c r="C30" i="14"/>
  <c r="C37" i="18"/>
  <c r="I50" i="20"/>
  <c r="E10" i="21"/>
  <c r="G50" i="20"/>
  <c r="L50" i="20"/>
  <c r="K50" i="20"/>
  <c r="J50" i="20"/>
  <c r="E50" i="20"/>
  <c r="D50" i="20"/>
  <c r="C50" i="20"/>
  <c r="B50" i="20"/>
  <c r="P50" i="20"/>
  <c r="H50" i="20"/>
  <c r="O50" i="20"/>
  <c r="N50" i="20"/>
  <c r="M50" i="20"/>
  <c r="F50" i="20"/>
  <c r="C40" i="15"/>
  <c r="C39" i="15"/>
  <c r="C43" i="19"/>
  <c r="L40" i="17"/>
  <c r="M40" i="17" s="1"/>
  <c r="J48" i="16"/>
  <c r="F25" i="16"/>
  <c r="H25" i="16" s="1"/>
  <c r="K24" i="16"/>
  <c r="E22" i="20"/>
  <c r="C45" i="18"/>
  <c r="E47" i="17"/>
  <c r="F47" i="17" s="1"/>
  <c r="F35" i="17"/>
  <c r="G35" i="17" s="1"/>
  <c r="L35" i="17" s="1"/>
  <c r="M35" i="17" s="1"/>
  <c r="C34" i="19"/>
  <c r="I25" i="16"/>
  <c r="E26" i="16" s="1"/>
  <c r="G26" i="16" s="1"/>
  <c r="F22" i="20"/>
  <c r="K25" i="16" l="1"/>
  <c r="L25" i="16" s="1"/>
  <c r="F26" i="16"/>
  <c r="H26" i="16" s="1"/>
  <c r="L24" i="16"/>
  <c r="J43" i="17"/>
  <c r="K42" i="17"/>
  <c r="L42" i="17" s="1"/>
  <c r="M42" i="17" s="1"/>
  <c r="B10" i="20"/>
  <c r="Q8" i="20"/>
  <c r="Q50" i="20"/>
  <c r="M49" i="20"/>
  <c r="K49" i="20"/>
  <c r="N49" i="20"/>
  <c r="L49" i="20"/>
  <c r="J49" i="20"/>
  <c r="D49" i="20"/>
  <c r="C49" i="20"/>
  <c r="B49" i="20"/>
  <c r="P49" i="20"/>
  <c r="O49" i="20"/>
  <c r="G49" i="20"/>
  <c r="F49" i="20"/>
  <c r="E49" i="20"/>
  <c r="I49" i="20"/>
  <c r="H49" i="20"/>
  <c r="H41" i="20"/>
  <c r="I26" i="16"/>
  <c r="E27" i="16" s="1"/>
  <c r="G27" i="16" s="1"/>
  <c r="C44" i="19"/>
  <c r="M41" i="20"/>
  <c r="D10" i="20"/>
  <c r="E48" i="20"/>
  <c r="C10" i="21"/>
  <c r="O48" i="20"/>
  <c r="O51" i="20" s="1"/>
  <c r="C48" i="20"/>
  <c r="C51" i="20" s="1"/>
  <c r="N48" i="20"/>
  <c r="N51" i="20" s="1"/>
  <c r="M48" i="20"/>
  <c r="M51" i="20" s="1"/>
  <c r="L48" i="20"/>
  <c r="L51" i="20" s="1"/>
  <c r="P48" i="20"/>
  <c r="P51" i="20" s="1"/>
  <c r="K48" i="20"/>
  <c r="J48" i="20"/>
  <c r="I48" i="20"/>
  <c r="C49" i="19"/>
  <c r="C50" i="19" s="1"/>
  <c r="F10" i="21" s="1"/>
  <c r="D48" i="20"/>
  <c r="D51" i="20" s="1"/>
  <c r="H48" i="20"/>
  <c r="G48" i="20"/>
  <c r="G51" i="20" s="1"/>
  <c r="F48" i="20"/>
  <c r="F51" i="20" s="1"/>
  <c r="B48" i="20"/>
  <c r="C41" i="15"/>
  <c r="P41" i="20"/>
  <c r="E10" i="20"/>
  <c r="O39" i="20"/>
  <c r="O41" i="20" s="1"/>
  <c r="C39" i="20"/>
  <c r="M39" i="20"/>
  <c r="H39" i="20"/>
  <c r="G39" i="20"/>
  <c r="G41" i="20" s="1"/>
  <c r="F39" i="20"/>
  <c r="N39" i="20"/>
  <c r="N41" i="20" s="1"/>
  <c r="L39" i="20"/>
  <c r="L41" i="20" s="1"/>
  <c r="K39" i="20"/>
  <c r="J39" i="20"/>
  <c r="J41" i="20" s="1"/>
  <c r="I39" i="20"/>
  <c r="I41" i="20" s="1"/>
  <c r="D39" i="20"/>
  <c r="P39" i="20"/>
  <c r="E39" i="20"/>
  <c r="B39" i="20"/>
  <c r="D41" i="20"/>
  <c r="F41" i="20"/>
  <c r="Q9" i="20"/>
  <c r="K41" i="20"/>
  <c r="Q20" i="20"/>
  <c r="B22" i="20"/>
  <c r="Q38" i="20"/>
  <c r="B41" i="20"/>
  <c r="C9" i="21"/>
  <c r="L10" i="20"/>
  <c r="C41" i="20"/>
  <c r="E41" i="20"/>
  <c r="M10" i="20"/>
  <c r="C50" i="18"/>
  <c r="F10" i="20"/>
  <c r="K26" i="16" l="1"/>
  <c r="F27" i="16"/>
  <c r="O43" i="20"/>
  <c r="N43" i="20"/>
  <c r="G43" i="20"/>
  <c r="J44" i="17"/>
  <c r="K43" i="17"/>
  <c r="L43" i="17" s="1"/>
  <c r="M43" i="17" s="1"/>
  <c r="Q48" i="20"/>
  <c r="B51" i="20"/>
  <c r="Q41" i="20"/>
  <c r="B43" i="20"/>
  <c r="B44" i="20"/>
  <c r="C42" i="20" s="1"/>
  <c r="C44" i="20" s="1"/>
  <c r="D42" i="20" s="1"/>
  <c r="D44" i="20" s="1"/>
  <c r="E42" i="20" s="1"/>
  <c r="E44" i="20" s="1"/>
  <c r="F42" i="20" s="1"/>
  <c r="F44" i="20" s="1"/>
  <c r="G42" i="20" s="1"/>
  <c r="G44" i="20" s="1"/>
  <c r="H42" i="20" s="1"/>
  <c r="H44" i="20" s="1"/>
  <c r="I42" i="20" s="1"/>
  <c r="I44" i="20" s="1"/>
  <c r="J42" i="20" s="1"/>
  <c r="J44" i="20" s="1"/>
  <c r="K42" i="20" s="1"/>
  <c r="K44" i="20" s="1"/>
  <c r="L42" i="20" s="1"/>
  <c r="L44" i="20" s="1"/>
  <c r="M42" i="20" s="1"/>
  <c r="M44" i="20" s="1"/>
  <c r="N42" i="20" s="1"/>
  <c r="N44" i="20" s="1"/>
  <c r="O42" i="20" s="1"/>
  <c r="O44" i="20" s="1"/>
  <c r="P42" i="20" s="1"/>
  <c r="P44" i="20" s="1"/>
  <c r="D43" i="20"/>
  <c r="H51" i="20"/>
  <c r="E51" i="20"/>
  <c r="Q22" i="20"/>
  <c r="B24" i="20"/>
  <c r="B25" i="20"/>
  <c r="C23" i="20" s="1"/>
  <c r="Q39" i="20"/>
  <c r="I51" i="20"/>
  <c r="C43" i="20"/>
  <c r="K43" i="20"/>
  <c r="P43" i="20"/>
  <c r="I27" i="16"/>
  <c r="E28" i="16" s="1"/>
  <c r="G28" i="16" s="1"/>
  <c r="H27" i="16"/>
  <c r="C6" i="21"/>
  <c r="C49" i="15"/>
  <c r="C50" i="15" s="1"/>
  <c r="F6" i="21" s="1"/>
  <c r="F43" i="20"/>
  <c r="C52" i="18"/>
  <c r="C51" i="18"/>
  <c r="F9" i="21" s="1"/>
  <c r="C42" i="15"/>
  <c r="J51" i="20"/>
  <c r="M43" i="20"/>
  <c r="Q49" i="20"/>
  <c r="K51" i="20"/>
  <c r="B12" i="20"/>
  <c r="Q10" i="20"/>
  <c r="B13" i="20"/>
  <c r="C11" i="20" s="1"/>
  <c r="E43" i="20"/>
  <c r="C13" i="20" l="1"/>
  <c r="D11" i="20" s="1"/>
  <c r="C12" i="20"/>
  <c r="L43" i="20"/>
  <c r="H43" i="20"/>
  <c r="C25" i="20"/>
  <c r="D23" i="20" s="1"/>
  <c r="C24" i="20"/>
  <c r="J43" i="20"/>
  <c r="Q43" i="20" s="1"/>
  <c r="G9" i="21" s="1"/>
  <c r="I43" i="20"/>
  <c r="J45" i="17"/>
  <c r="K44" i="17"/>
  <c r="L44" i="17" s="1"/>
  <c r="M44" i="17" s="1"/>
  <c r="F28" i="16"/>
  <c r="K27" i="16"/>
  <c r="L27" i="16" s="1"/>
  <c r="Q51" i="20"/>
  <c r="B53" i="20"/>
  <c r="B54" i="20"/>
  <c r="C52" i="20" s="1"/>
  <c r="H28" i="16"/>
  <c r="I28" i="16"/>
  <c r="E29" i="16" s="1"/>
  <c r="G29" i="16" s="1"/>
  <c r="L26" i="16"/>
  <c r="F29" i="16" l="1"/>
  <c r="K28" i="16"/>
  <c r="L28" i="16" s="1"/>
  <c r="C54" i="20"/>
  <c r="D52" i="20" s="1"/>
  <c r="C53" i="20"/>
  <c r="D25" i="20"/>
  <c r="E23" i="20" s="1"/>
  <c r="D24" i="20"/>
  <c r="K45" i="17"/>
  <c r="L45" i="17" s="1"/>
  <c r="M45" i="17" s="1"/>
  <c r="J46" i="17"/>
  <c r="K46" i="17" s="1"/>
  <c r="L46" i="17" s="1"/>
  <c r="M46" i="17" s="1"/>
  <c r="M47" i="17" s="1"/>
  <c r="C51" i="17" s="1"/>
  <c r="C52" i="17" s="1"/>
  <c r="C53" i="17" s="1"/>
  <c r="C54" i="17" s="1"/>
  <c r="D13" i="20"/>
  <c r="E11" i="20" s="1"/>
  <c r="D12" i="20"/>
  <c r="I29" i="16"/>
  <c r="E30" i="16" s="1"/>
  <c r="G30" i="16" s="1"/>
  <c r="H29" i="16"/>
  <c r="D54" i="20" l="1"/>
  <c r="E52" i="20" s="1"/>
  <c r="D53" i="20"/>
  <c r="C56" i="17"/>
  <c r="C55" i="17"/>
  <c r="C57" i="17" s="1"/>
  <c r="K29" i="16"/>
  <c r="L29" i="16" s="1"/>
  <c r="F30" i="16"/>
  <c r="E25" i="20"/>
  <c r="F23" i="20" s="1"/>
  <c r="E24" i="20"/>
  <c r="I30" i="16"/>
  <c r="E31" i="16" s="1"/>
  <c r="G31" i="16" s="1"/>
  <c r="H30" i="16"/>
  <c r="E13" i="20"/>
  <c r="F11" i="20" s="1"/>
  <c r="E12" i="20"/>
  <c r="F13" i="20" l="1"/>
  <c r="G11" i="20" s="1"/>
  <c r="F12" i="20"/>
  <c r="F31" i="16"/>
  <c r="K30" i="16"/>
  <c r="C60" i="17"/>
  <c r="C62" i="17" s="1"/>
  <c r="C63" i="17" s="1"/>
  <c r="F8" i="21" s="1"/>
  <c r="C8" i="21"/>
  <c r="E54" i="20"/>
  <c r="F52" i="20" s="1"/>
  <c r="E53" i="20"/>
  <c r="I31" i="16"/>
  <c r="E32" i="16" s="1"/>
  <c r="G32" i="16" s="1"/>
  <c r="H31" i="16"/>
  <c r="F25" i="20"/>
  <c r="G23" i="20" s="1"/>
  <c r="F24" i="20"/>
  <c r="C58" i="17"/>
  <c r="G25" i="20" l="1"/>
  <c r="H23" i="20" s="1"/>
  <c r="G24" i="20"/>
  <c r="F54" i="20"/>
  <c r="G52" i="20" s="1"/>
  <c r="F53" i="20"/>
  <c r="F32" i="16"/>
  <c r="K31" i="16"/>
  <c r="L31" i="16" s="1"/>
  <c r="L30" i="16"/>
  <c r="I32" i="16"/>
  <c r="E33" i="16" s="1"/>
  <c r="G33" i="16" s="1"/>
  <c r="H32" i="16"/>
  <c r="G13" i="20"/>
  <c r="H11" i="20" s="1"/>
  <c r="G12" i="20"/>
  <c r="K32" i="16" l="1"/>
  <c r="L32" i="16" s="1"/>
  <c r="F33" i="16"/>
  <c r="I33" i="16"/>
  <c r="E34" i="16" s="1"/>
  <c r="G34" i="16" s="1"/>
  <c r="H33" i="16"/>
  <c r="H13" i="20"/>
  <c r="I11" i="20" s="1"/>
  <c r="H12" i="20"/>
  <c r="G54" i="20"/>
  <c r="H52" i="20" s="1"/>
  <c r="G53" i="20"/>
  <c r="H25" i="20"/>
  <c r="I23" i="20" s="1"/>
  <c r="H24" i="20"/>
  <c r="H54" i="20" l="1"/>
  <c r="I52" i="20" s="1"/>
  <c r="H53" i="20"/>
  <c r="I25" i="20"/>
  <c r="J23" i="20" s="1"/>
  <c r="I24" i="20"/>
  <c r="I13" i="20"/>
  <c r="J11" i="20" s="1"/>
  <c r="I12" i="20"/>
  <c r="F34" i="16"/>
  <c r="K33" i="16"/>
  <c r="L33" i="16" s="1"/>
  <c r="I34" i="16"/>
  <c r="E35" i="16" s="1"/>
  <c r="G35" i="16" s="1"/>
  <c r="H34" i="16"/>
  <c r="I35" i="16" l="1"/>
  <c r="E36" i="16" s="1"/>
  <c r="G36" i="16" s="1"/>
  <c r="K34" i="16"/>
  <c r="L34" i="16" s="1"/>
  <c r="F35" i="16"/>
  <c r="H35" i="16" s="1"/>
  <c r="J13" i="20"/>
  <c r="K11" i="20" s="1"/>
  <c r="J12" i="20"/>
  <c r="J25" i="20"/>
  <c r="K23" i="20" s="1"/>
  <c r="J24" i="20"/>
  <c r="I54" i="20"/>
  <c r="J52" i="20" s="1"/>
  <c r="I53" i="20"/>
  <c r="K35" i="16" l="1"/>
  <c r="L35" i="16" s="1"/>
  <c r="F36" i="16"/>
  <c r="K25" i="20"/>
  <c r="L23" i="20" s="1"/>
  <c r="K24" i="20"/>
  <c r="J54" i="20"/>
  <c r="K52" i="20" s="1"/>
  <c r="J53" i="20"/>
  <c r="K13" i="20"/>
  <c r="L11" i="20" s="1"/>
  <c r="K12" i="20"/>
  <c r="H36" i="16"/>
  <c r="I36" i="16"/>
  <c r="E37" i="16" s="1"/>
  <c r="G37" i="16" s="1"/>
  <c r="L25" i="20" l="1"/>
  <c r="M23" i="20" s="1"/>
  <c r="L24" i="20"/>
  <c r="I37" i="16"/>
  <c r="E38" i="16" s="1"/>
  <c r="G38" i="16" s="1"/>
  <c r="H37" i="16"/>
  <c r="F37" i="16"/>
  <c r="K36" i="16"/>
  <c r="L36" i="16" s="1"/>
  <c r="K54" i="20"/>
  <c r="L52" i="20" s="1"/>
  <c r="K53" i="20"/>
  <c r="L13" i="20"/>
  <c r="M11" i="20" s="1"/>
  <c r="L12" i="20"/>
  <c r="H38" i="16" l="1"/>
  <c r="I38" i="16"/>
  <c r="E39" i="16" s="1"/>
  <c r="G39" i="16" s="1"/>
  <c r="M13" i="20"/>
  <c r="N11" i="20" s="1"/>
  <c r="M12" i="20"/>
  <c r="M25" i="20"/>
  <c r="N23" i="20" s="1"/>
  <c r="M24" i="20"/>
  <c r="L54" i="20"/>
  <c r="M52" i="20" s="1"/>
  <c r="L53" i="20"/>
  <c r="F38" i="16"/>
  <c r="K37" i="16"/>
  <c r="L37" i="16" s="1"/>
  <c r="I39" i="16" l="1"/>
  <c r="E40" i="16" s="1"/>
  <c r="G40" i="16" s="1"/>
  <c r="H39" i="16"/>
  <c r="K38" i="16"/>
  <c r="L38" i="16" s="1"/>
  <c r="F39" i="16"/>
  <c r="N25" i="20"/>
  <c r="O23" i="20" s="1"/>
  <c r="N24" i="20"/>
  <c r="N13" i="20"/>
  <c r="O11" i="20" s="1"/>
  <c r="N12" i="20"/>
  <c r="M54" i="20"/>
  <c r="N52" i="20" s="1"/>
  <c r="M53" i="20"/>
  <c r="K39" i="16" l="1"/>
  <c r="L39" i="16" s="1"/>
  <c r="F40" i="16"/>
  <c r="H40" i="16" s="1"/>
  <c r="O13" i="20"/>
  <c r="P11" i="20" s="1"/>
  <c r="O12" i="20"/>
  <c r="I40" i="16"/>
  <c r="E41" i="16" s="1"/>
  <c r="G41" i="16" s="1"/>
  <c r="N54" i="20"/>
  <c r="O52" i="20" s="1"/>
  <c r="N53" i="20"/>
  <c r="O25" i="20"/>
  <c r="P23" i="20" s="1"/>
  <c r="O24" i="20"/>
  <c r="K40" i="16" l="1"/>
  <c r="L40" i="16" s="1"/>
  <c r="F41" i="16"/>
  <c r="H41" i="16" s="1"/>
  <c r="P13" i="20"/>
  <c r="P12" i="20"/>
  <c r="Q12" i="20" s="1"/>
  <c r="G5" i="21" s="1"/>
  <c r="I41" i="16"/>
  <c r="E42" i="16" s="1"/>
  <c r="G42" i="16" s="1"/>
  <c r="P25" i="20"/>
  <c r="P24" i="20"/>
  <c r="Q24" i="20" s="1"/>
  <c r="G6" i="21" s="1"/>
  <c r="O54" i="20"/>
  <c r="P52" i="20" s="1"/>
  <c r="O53" i="20"/>
  <c r="K41" i="16" l="1"/>
  <c r="L41" i="16" s="1"/>
  <c r="F42" i="16"/>
  <c r="H42" i="16" s="1"/>
  <c r="I42" i="16"/>
  <c r="E43" i="16" s="1"/>
  <c r="G43" i="16" s="1"/>
  <c r="P54" i="20"/>
  <c r="P53" i="20"/>
  <c r="Q53" i="20" s="1"/>
  <c r="G10" i="21" s="1"/>
  <c r="F43" i="16" l="1"/>
  <c r="K42" i="16"/>
  <c r="L42" i="16" s="1"/>
  <c r="I43" i="16"/>
  <c r="E44" i="16" s="1"/>
  <c r="G44" i="16" s="1"/>
  <c r="H43" i="16"/>
  <c r="F44" i="16" l="1"/>
  <c r="H44" i="16" s="1"/>
  <c r="K43" i="16"/>
  <c r="L43" i="16" s="1"/>
  <c r="I44" i="16"/>
  <c r="E45" i="16" s="1"/>
  <c r="G45" i="16" s="1"/>
  <c r="F45" i="16" l="1"/>
  <c r="H45" i="16" s="1"/>
  <c r="K44" i="16"/>
  <c r="L44" i="16" s="1"/>
  <c r="I45" i="16"/>
  <c r="E46" i="16" s="1"/>
  <c r="G46" i="16" s="1"/>
  <c r="F46" i="16" l="1"/>
  <c r="H46" i="16" s="1"/>
  <c r="K45" i="16"/>
  <c r="L45" i="16" s="1"/>
  <c r="I46" i="16"/>
  <c r="E47" i="16" s="1"/>
  <c r="G47" i="16" s="1"/>
  <c r="F47" i="16" l="1"/>
  <c r="H47" i="16" s="1"/>
  <c r="K47" i="16" s="1"/>
  <c r="K46" i="16"/>
  <c r="L46" i="16" s="1"/>
  <c r="I47" i="16"/>
  <c r="L47" i="16" l="1"/>
  <c r="L48" i="16" s="1"/>
  <c r="C54" i="16" s="1"/>
  <c r="C55" i="16" s="1"/>
  <c r="K48" i="16"/>
  <c r="E29" i="20" l="1"/>
  <c r="E31" i="20" s="1"/>
  <c r="O29" i="20"/>
  <c r="O31" i="20" s="1"/>
  <c r="C29" i="20"/>
  <c r="C31" i="20" s="1"/>
  <c r="C7" i="21"/>
  <c r="B29" i="20"/>
  <c r="N29" i="20"/>
  <c r="N31" i="20" s="1"/>
  <c r="P29" i="20"/>
  <c r="P31" i="20" s="1"/>
  <c r="L29" i="20"/>
  <c r="L31" i="20" s="1"/>
  <c r="K29" i="20"/>
  <c r="K31" i="20" s="1"/>
  <c r="I29" i="20"/>
  <c r="I31" i="20" s="1"/>
  <c r="H29" i="20"/>
  <c r="H31" i="20" s="1"/>
  <c r="G29" i="20"/>
  <c r="G31" i="20" s="1"/>
  <c r="F29" i="20"/>
  <c r="F31" i="20" s="1"/>
  <c r="J29" i="20"/>
  <c r="J31" i="20" s="1"/>
  <c r="C59" i="16"/>
  <c r="C60" i="16" s="1"/>
  <c r="F7" i="21" s="1"/>
  <c r="D29" i="20"/>
  <c r="D31" i="20" s="1"/>
  <c r="M29" i="20"/>
  <c r="M31" i="20" s="1"/>
  <c r="Q29" i="20" l="1"/>
  <c r="B31" i="20"/>
  <c r="B33" i="20" l="1"/>
  <c r="B34" i="20"/>
  <c r="C32" i="20" s="1"/>
  <c r="Q31" i="20"/>
  <c r="C34" i="20" l="1"/>
  <c r="D32" i="20" s="1"/>
  <c r="C33" i="20"/>
  <c r="D34" i="20" l="1"/>
  <c r="E32" i="20" s="1"/>
  <c r="D33" i="20"/>
  <c r="E34" i="20" l="1"/>
  <c r="F32" i="20" s="1"/>
  <c r="E33" i="20"/>
  <c r="F34" i="20" l="1"/>
  <c r="G32" i="20" s="1"/>
  <c r="F33" i="20"/>
  <c r="G34" i="20" l="1"/>
  <c r="H32" i="20" s="1"/>
  <c r="G33" i="20"/>
  <c r="H34" i="20" l="1"/>
  <c r="I32" i="20" s="1"/>
  <c r="H33" i="20"/>
  <c r="I34" i="20" l="1"/>
  <c r="J32" i="20" s="1"/>
  <c r="I33" i="20"/>
  <c r="J34" i="20" l="1"/>
  <c r="K32" i="20" s="1"/>
  <c r="J33" i="20"/>
  <c r="K34" i="20" l="1"/>
  <c r="L32" i="20" s="1"/>
  <c r="K33" i="20"/>
  <c r="L34" i="20" l="1"/>
  <c r="M32" i="20" s="1"/>
  <c r="L33" i="20"/>
  <c r="M34" i="20" l="1"/>
  <c r="N32" i="20" s="1"/>
  <c r="M33" i="20"/>
  <c r="N34" i="20" l="1"/>
  <c r="O32" i="20" s="1"/>
  <c r="N33" i="20"/>
  <c r="O34" i="20" l="1"/>
  <c r="P32" i="20" s="1"/>
  <c r="O33" i="20"/>
  <c r="P34" i="20" l="1"/>
  <c r="P33" i="20"/>
  <c r="Q33" i="20" s="1"/>
  <c r="G7" i="21" s="1"/>
</calcChain>
</file>

<file path=xl/sharedStrings.xml><?xml version="1.0" encoding="utf-8"?>
<sst xmlns="http://schemas.openxmlformats.org/spreadsheetml/2006/main" count="1349" uniqueCount="573">
  <si>
    <t>Release date</t>
  </si>
  <si>
    <t>Version</t>
  </si>
  <si>
    <t>G-RESET calculation tool with worked examples</t>
  </si>
  <si>
    <t>Grid-connected Renewables, Storage and Energy Transition</t>
  </si>
  <si>
    <t>GS4GG PAA M400-14</t>
  </si>
  <si>
    <t>G-RESET Calculation Tool: Worked Examples</t>
  </si>
  <si>
    <t>Supporting file to the Gold Standard for the Global Goals methodology "Grid-connected Renewables, Storage &amp; Energy Transition (G-RESET)", Version 1.0 (GS4GG PAA M400-14)</t>
  </si>
  <si>
    <t>Purpose</t>
  </si>
  <si>
    <t>This workbook shows, step by step, how the equations of G-RESET Version 1.0 are applied. It contains one worked example for each activity module (Modules GG, BO, ST, CG and VPP) and one example of an Integrated Solution. It is intended to help activity developers, Validation and Verification Bodies and other readers follow the calculations in Sections 7 to 10 of the methodology and its annexes.</t>
  </si>
  <si>
    <t>Status of this workbook</t>
  </si>
  <si>
    <t>The examples are illustrative. Input values are hypothetical unless they are default values taken from Annex 1 of the methodology, which are identified as such. The workbook does not replace the methodology, the methodological tools it references, or the validation and verification process, and it does not determine the eligibility or additionality of any activity. Where this workbook and the methodology differ, the methodology prevails.</t>
  </si>
  <si>
    <t>How to read the workbook</t>
  </si>
  <si>
    <t>Sheet</t>
  </si>
  <si>
    <t>Content</t>
  </si>
  <si>
    <t>Defaults</t>
  </si>
  <si>
    <t>Default values and constants taken from G-RESET Version 1.0, with the clause or annex of origin.</t>
  </si>
  <si>
    <t>Host system</t>
  </si>
  <si>
    <t>Illustrative grid emission factors and Downward Adjustment Factor for a hypothetical host system, shared by all examples.</t>
  </si>
  <si>
    <t>GG Greenfield</t>
  </si>
  <si>
    <t>Module GG: a new grid-connected solar photovoltaic plant.</t>
  </si>
  <si>
    <t>BO Brownfield</t>
  </si>
  <si>
    <t>Module BO: repowering of an ageing wind farm, with the declining baseline of the pre-existing asset.</t>
  </si>
  <si>
    <t>ST Storage</t>
  </si>
  <si>
    <t>Module ST: a standalone grid-connected battery under Tier 2 (hourly) temporal accounting.</t>
  </si>
  <si>
    <t>CG Captive</t>
  </si>
  <si>
    <t>Module CG: captive solar and battery at a factory, displacing diesel, with the monthly fossil-fuel test for a diesel backup generator.</t>
  </si>
  <si>
    <t>VPP</t>
  </si>
  <si>
    <t>Module VPP: a virtual power plant aggregating rooftop solar and home batteries, with the Aggregation Reconciliation Waiver and Tier 1 (time-of-use) accounting.</t>
  </si>
  <si>
    <t>Integrated</t>
  </si>
  <si>
    <t>Integrated Solution: solar photovoltaic generation (Module GG) with a co-located battery (Module ST), including the co-located generation safeguard.</t>
  </si>
  <si>
    <t>Summary</t>
  </si>
  <si>
    <t>Year-1 and 15-year results of all examples.</t>
  </si>
  <si>
    <t>Colour conventions</t>
  </si>
  <si>
    <t>Blue figures are illustrative inputs. They may be changed to explore the calculations.</t>
  </si>
  <si>
    <t>Black figures are calculated by formula and should not be overwritten.</t>
  </si>
  <si>
    <t>Green figures are linked from the Defaults or Host system sheets.</t>
  </si>
  <si>
    <t>Rows shaded light yellow are the principal results of each step.</t>
  </si>
  <si>
    <t>Conventions and simplifications</t>
  </si>
  <si>
    <t>Units: electricity in MWh; emissions in tonnes of carbon dioxide equivalent (tCO2e); emission factors in tCO2/MWh. Global warming potentials are the AR5 100-year values adopted by GS4GG (Annex 1, A 1.2.1).</t>
  </si>
  <si>
    <t>Calculations are unrounded; figures are displayed rounded. Year 1 is the first year of the crediting period. The crediting period is taken as three periods of five years (15 years), each renewal assumed successful.</t>
  </si>
  <si>
    <t>Baselines are evaluated with the grid emission factor at the Case-2 lower bound of A6.4-AMT-007, as Section 7.3.2 requires; the uncertainty step (eq. 15) is therefore an identity. The Downward Adjustment Factor and grid emission factors are held constant across years for clarity; in application, the values for each year are used.</t>
  </si>
  <si>
    <t>For storage, one representative day is scaled to a year for illustration. In application, every settlement interval of the monitoring period is reconciled (Annex 2, A 2.8).</t>
  </si>
  <si>
    <t>Additionality, sustainable-development and safeguard requirements are assumed to be met. The examples do not reproduce the Investment Analysis or the common-practice analysis.</t>
  </si>
  <si>
    <t>Technical lifetimes are illustrative values within the ranges of Annex 1, A 1.9. The binding values are determined under A6.4-AMT-006.</t>
  </si>
  <si>
    <t>Tool version 1.0, prepared for G-RESET Version 1.0 (October 2026). Enquiries: help@goldstandard.org.</t>
  </si>
  <si>
    <t>Default values and constants</t>
  </si>
  <si>
    <t>Taken from G-RESET Version 1.0. Linked into the example sheets.</t>
  </si>
  <si>
    <t>Parameter</t>
  </si>
  <si>
    <t>Symbol [ID]</t>
  </si>
  <si>
    <t>Value</t>
  </si>
  <si>
    <t>Unit</t>
  </si>
  <si>
    <t>Source in G-RESET Version 1.0</t>
  </si>
  <si>
    <t>Maximum aggregate crediting period</t>
  </si>
  <si>
    <t>L_CP [GR-N18]</t>
  </si>
  <si>
    <t>years</t>
  </si>
  <si>
    <t>Three crediting periods of five years; Section 9.4.3, eq. 36 and 37</t>
  </si>
  <si>
    <t>Crediting factor</t>
  </si>
  <si>
    <t>CF_y</t>
  </si>
  <si>
    <t>fraction</t>
  </si>
  <si>
    <t>Section 7.5, eq. 18 (default 1)</t>
  </si>
  <si>
    <t>Embodied factor, solar PV, crystalline silicon, standard mounting</t>
  </si>
  <si>
    <t>EF_Embodied,gen [GR-N01]</t>
  </si>
  <si>
    <t>tCO2e/MWp DC</t>
  </si>
  <si>
    <t>Annex 1, A 1.4, Table 1.1</t>
  </si>
  <si>
    <t>Embodied factor, wind, onshore and fixed-bottom offshore</t>
  </si>
  <si>
    <t>tCO2e/MW AC</t>
  </si>
  <si>
    <t>Embodied factor, lithium iron phosphate storage</t>
  </si>
  <si>
    <t>EF_Embodied,sto [GR-N02]</t>
  </si>
  <si>
    <t>tCO2e/MWh</t>
  </si>
  <si>
    <t>Annex 1, A 1.5 (69 cell/pack plus 30 balance of plant)</t>
  </si>
  <si>
    <t>Embodied factor, LFP cell/pack only (augmentations)</t>
  </si>
  <si>
    <t>EF_cell/pack [GR-N02]</t>
  </si>
  <si>
    <t>Annex 1, A 1.5; eq. 37</t>
  </si>
  <si>
    <t>Standardised annual degradation rate, onshore wind</t>
  </si>
  <si>
    <t>d</t>
  </si>
  <si>
    <t>fraction/yr</t>
  </si>
  <si>
    <t>Annex 1, A 1.7</t>
  </si>
  <si>
    <t>Module BO conservative uplift</t>
  </si>
  <si>
    <t>u</t>
  </si>
  <si>
    <t>Annex 1, A 1.8</t>
  </si>
  <si>
    <t>Technical lifetime, solar PV (illustrative)</t>
  </si>
  <si>
    <t>LT [GR-N04]</t>
  </si>
  <si>
    <t>Annex 1, A 1.9 (range 25 to 30); binding value under A6.4-AMT-006</t>
  </si>
  <si>
    <t>Technical lifetime, onshore wind (illustrative)</t>
  </si>
  <si>
    <t>Annex 1, A 1.9 (range 20 to 25)</t>
  </si>
  <si>
    <t>Technical lifetime, lithium-ion battery (illustrative)</t>
  </si>
  <si>
    <t>Annex 1, A 1.9 (range 10 to 15)</t>
  </si>
  <si>
    <t>Captive fossil-fuel emission factor, diesel generator</t>
  </si>
  <si>
    <t>EF_captive,fossil</t>
  </si>
  <si>
    <t>tCO2/MWh</t>
  </si>
  <si>
    <t>Annex 1, A 1.11</t>
  </si>
  <si>
    <t>Net calorific value, diesel</t>
  </si>
  <si>
    <t>NCV_i [GR-N11]</t>
  </si>
  <si>
    <t>GJ/t</t>
  </si>
  <si>
    <t>Annex 1, A 1.12</t>
  </si>
  <si>
    <t>CO2 emission factor, diesel</t>
  </si>
  <si>
    <t>EF_CO2,i</t>
  </si>
  <si>
    <t>tCO2/TJ</t>
  </si>
  <si>
    <t>Factor for CH4 and N2O combustion emissions</t>
  </si>
  <si>
    <t>1.002</t>
  </si>
  <si>
    <t>dimensionless</t>
  </si>
  <si>
    <t>Section 8.3, eq. 22</t>
  </si>
  <si>
    <t>Fossil-fuel cap</t>
  </si>
  <si>
    <t>τ [GR-N14]</t>
  </si>
  <si>
    <t>Annex 1, A 1.12; Section 8.3.2(a)</t>
  </si>
  <si>
    <t>Backup limit</t>
  </si>
  <si>
    <t>-</t>
  </si>
  <si>
    <t>operating hours per calendar year</t>
  </si>
  <si>
    <t>Section 8.3.2(c)</t>
  </si>
  <si>
    <t>Unit conversion</t>
  </si>
  <si>
    <t>3.6</t>
  </si>
  <si>
    <t>GJ/MWh</t>
  </si>
  <si>
    <t>Section 8.3, eq. 24</t>
  </si>
  <si>
    <t>Tier 1 conservativeness discount</t>
  </si>
  <si>
    <t>DF_ToU</t>
  </si>
  <si>
    <t>Annex 2, A 2.5</t>
  </si>
  <si>
    <t>Aggregation Reconciliation Waiver discount</t>
  </si>
  <si>
    <t>Annex 4, A 4.5.1(a)</t>
  </si>
  <si>
    <t>Micro-scale threshold</t>
  </si>
  <si>
    <t>tCO2e/yr</t>
  </si>
  <si>
    <t>Section 6.2.1(a)</t>
  </si>
  <si>
    <t>Illustrative host-system parameters</t>
  </si>
  <si>
    <t>Hypothetical values shared by all examples. They do not describe any particular country.</t>
  </si>
  <si>
    <t>Symbol</t>
  </si>
  <si>
    <t>Note</t>
  </si>
  <si>
    <t>Combined-margin grid emission factor, Case-2 lower bound</t>
  </si>
  <si>
    <t>EF_grid,CM,y</t>
  </si>
  <si>
    <t>A6.4-AMT-007, as modified by the GS4GG addendum; baselines are evaluated at this conservative bound (Section 7.3.2). Illustrative.</t>
  </si>
  <si>
    <t>Downward Adjustment Factor</t>
  </si>
  <si>
    <t>DAF_y</t>
  </si>
  <si>
    <t>Selected from GS4GG PAA MT400-05 (Annex 1, A 1.2.3). Illustrative value, held constant across years.</t>
  </si>
  <si>
    <t>Tier 1: peak-block operating margin</t>
  </si>
  <si>
    <t>EF_grid,OM (block)</t>
  </si>
  <si>
    <t>Annex 2, A 2.5.1(b). Used in the VPP example. Illustrative.</t>
  </si>
  <si>
    <t>Tier 1: highest operating margin within the off-peak block</t>
  </si>
  <si>
    <t>EF_grid,OM (max)</t>
  </si>
  <si>
    <t>Annex 2, A 2.5: the charge side uses the highest factor within the block. Illustrative.</t>
  </si>
  <si>
    <t>Operating margin in the evening discharge intervals</t>
  </si>
  <si>
    <t>EF_grid,OM,h</t>
  </si>
  <si>
    <t>Used in the Integrated Solution example. Illustrative.</t>
  </si>
  <si>
    <t>Tier 2: hourly operating margin for a representative day (used in the ST example)</t>
  </si>
  <si>
    <t>Hour (start)</t>
  </si>
  <si>
    <t>00:00</t>
  </si>
  <si>
    <t>01:00</t>
  </si>
  <si>
    <t>02:00</t>
  </si>
  <si>
    <t>03:00</t>
  </si>
  <si>
    <t>04:00</t>
  </si>
  <si>
    <t>05:00</t>
  </si>
  <si>
    <t>06:00</t>
  </si>
  <si>
    <t>07:00</t>
  </si>
  <si>
    <t>08:00</t>
  </si>
  <si>
    <t>09:00</t>
  </si>
  <si>
    <t>10:00</t>
  </si>
  <si>
    <t>Low in the middle of the day (solar hours); high at the evening peak. Illustrative.</t>
  </si>
  <si>
    <t>11:00</t>
  </si>
  <si>
    <t>12:00</t>
  </si>
  <si>
    <t>13:00</t>
  </si>
  <si>
    <t>14:00</t>
  </si>
  <si>
    <t>15:00</t>
  </si>
  <si>
    <t>16:00</t>
  </si>
  <si>
    <t>17:00</t>
  </si>
  <si>
    <t>18:00</t>
  </si>
  <si>
    <t>19:00</t>
  </si>
  <si>
    <t>20:00</t>
  </si>
  <si>
    <t>21:00</t>
  </si>
  <si>
    <t>22:00</t>
  </si>
  <si>
    <t>23:00</t>
  </si>
  <si>
    <t>Example 1. Module GG: Greenfield solar photovoltaic plant</t>
  </si>
  <si>
    <t>G-RESET Version 1.0, Sections 7 to 10. Illustrative example.</t>
  </si>
  <si>
    <t>What this example shows. A new 50 MW (AC) solar photovoltaic plant supplies electricity to the grid. The example follows the five baseline steps of Section 7, deducts the embodied emissions of the modules under eq. 36, and derives the net emission reductions under eq. 41. The plant is built on previously cleared land, so there is no land-use change, and no third-party wind array is affected.</t>
  </si>
  <si>
    <t>Additionality. A large-scale activity applies the full assessment of Section 6 (regulatory surplus, Investment Analysis and common-practice analysis). It is assumed to be demonstrated for this illustration.</t>
  </si>
  <si>
    <t>Activity inputs (illustrative)</t>
  </si>
  <si>
    <t>Installed capacity, AC</t>
  </si>
  <si>
    <t>MW</t>
  </si>
  <si>
    <t>Nameplate inverter capacity</t>
  </si>
  <si>
    <t>Installed capacity, DC (rated module power)</t>
  </si>
  <si>
    <t>Cap_gen,t [GR-N16]</t>
  </si>
  <si>
    <t>MWp</t>
  </si>
  <si>
    <t>DC/AC ratio of 1.25; the embodied factor applies per MWp DC (eq. 36)</t>
  </si>
  <si>
    <t>Capacity factor (AC basis)</t>
  </si>
  <si>
    <t>Used only to illustrate metered output</t>
  </si>
  <si>
    <t>Net electricity supplied to the grid</t>
  </si>
  <si>
    <t>EG_facility,y</t>
  </si>
  <si>
    <t>MWh</t>
  </si>
  <si>
    <t>Monitored at the point of interconnection (Section 14); here estimated from capacity and capacity factor</t>
  </si>
  <si>
    <t>Electricity the activity is legally required to supply</t>
  </si>
  <si>
    <t>EG_legal,y</t>
  </si>
  <si>
    <t>None in this example (Section 7.2.3)</t>
  </si>
  <si>
    <t>Values linked from the Defaults and Host system sheets</t>
  </si>
  <si>
    <t>Source</t>
  </si>
  <si>
    <t>Combined-margin grid emission factor (Case-2 lower bound)</t>
  </si>
  <si>
    <t>Host system sheet</t>
  </si>
  <si>
    <t>Defaults sheet</t>
  </si>
  <si>
    <t>Embodied factor, solar PV</t>
  </si>
  <si>
    <t>EF_Embodied,gen</t>
  </si>
  <si>
    <t>tCO2e/MWp</t>
  </si>
  <si>
    <t>Technical lifetime, solar PV</t>
  </si>
  <si>
    <t>LT_t</t>
  </si>
  <si>
    <t>L_CP</t>
  </si>
  <si>
    <t>Year 1: baseline emissions (Section 7)</t>
  </si>
  <si>
    <t>Step</t>
  </si>
  <si>
    <t>Equation and explanation</t>
  </si>
  <si>
    <t>Step 2: creditable electricity</t>
  </si>
  <si>
    <t>EG_PJ,y</t>
  </si>
  <si>
    <t>Section 7.2.5, eq. 2</t>
  </si>
  <si>
    <t>Step 2: Module GG baseline</t>
  </si>
  <si>
    <t>BE_GG,y</t>
  </si>
  <si>
    <t>tCO2e</t>
  </si>
  <si>
    <t>Section 7.2.5, eq. 1, evaluated at the conservative bound of the grid factor (Section 7.3.2)</t>
  </si>
  <si>
    <t>Total unadjusted generation baseline</t>
  </si>
  <si>
    <t>BE_gen,unadj,y</t>
  </si>
  <si>
    <t>Section 7.2.11, eq. 14 (sum of the generation modules deployed)</t>
  </si>
  <si>
    <t>Step 3: uncertainty-adjusted baseline</t>
  </si>
  <si>
    <t>BE_gen,unc,y</t>
  </si>
  <si>
    <t>Section 7.3.2, eq. 15: an identity, because conservativeness is applied at parameter selection</t>
  </si>
  <si>
    <t>Step 3: ambition-adjusted baseline</t>
  </si>
  <si>
    <t>BE_gen,adj,y</t>
  </si>
  <si>
    <t>Section 7.3.3, eq. 16</t>
  </si>
  <si>
    <t>Step 4: conservative BAU baseline</t>
  </si>
  <si>
    <t>BE_gen,BAU,y</t>
  </si>
  <si>
    <t>Section 7.4, eq. 17</t>
  </si>
  <si>
    <t>Step 5: crediting baseline</t>
  </si>
  <si>
    <t>BE_gen,y</t>
  </si>
  <si>
    <t>Section 7.5, eq. 18</t>
  </si>
  <si>
    <t>Uncredited contribution to the host Party (generation)</t>
  </si>
  <si>
    <t>Δ_gen,y</t>
  </si>
  <si>
    <t>Section 7.6, eq. 19a; reported in each monitoring report</t>
  </si>
  <si>
    <t>Year 1: activity emissions, leakage and net emission reductions (Sections 8 to 10)</t>
  </si>
  <si>
    <t>Item</t>
  </si>
  <si>
    <t>Activity emissions</t>
  </si>
  <si>
    <t>AE_y</t>
  </si>
  <si>
    <t>Section 8, eq. 20: no fossil fuel, geothermal or reservoir emissions; auxiliary consumption is netted within EG_facility (eq. 31)</t>
  </si>
  <si>
    <t>Net reductions from generation</t>
  </si>
  <si>
    <t>ER_gen,y</t>
  </si>
  <si>
    <t>Section 10.1, eq. 42</t>
  </si>
  <si>
    <t>Embodied emissions deducted in year 1</t>
  </si>
  <si>
    <t>LE_Embodied,gen,y</t>
  </si>
  <si>
    <t>Section 9.4.3, eq. 36: installed capacity × factor, amortised over N = MIN(LT, L_CP) = 15 years</t>
  </si>
  <si>
    <t>Wake and land-use-change leakage</t>
  </si>
  <si>
    <t>LE_wake,y + LE_LUC,y</t>
  </si>
  <si>
    <t>Section 9.4.4 and 9.4.5: not applicable in this example</t>
  </si>
  <si>
    <t>Total leakage</t>
  </si>
  <si>
    <t>LE_y</t>
  </si>
  <si>
    <t>Section 9.4.1, eq. 34</t>
  </si>
  <si>
    <t>Net reductions before the deficit ledger</t>
  </si>
  <si>
    <t>ER_gross,y</t>
  </si>
  <si>
    <t>Section 10.1, eq. 41 (no storage or fire-suppression terms)</t>
  </si>
  <si>
    <t>Net emission reductions, year 1</t>
  </si>
  <si>
    <t>ER_y</t>
  </si>
  <si>
    <t>Section 10.1, eq. 41a: no deficit is brought forward in year 1</t>
  </si>
  <si>
    <t>The results for years 1 to 15, with the deficit ledger of eq. 41a and 41b, are on the Crediting period sheet. eq. 41a credits the reductions of a year only after any deficit brought forward has been cleared; eq. 41b carries forward any shortfall. No deficit arises in this example.</t>
  </si>
  <si>
    <t>Example 2. Module BO: Repowering of an ageing wind farm</t>
  </si>
  <si>
    <t>What this example shows. An ageing onshore wind farm is repowered with 45 MW of new turbines. Only the electricity above the declining output of the pre-existing asset is credited, until the Remaining Useful Life (RUL) of that asset ends; after that, the full output is credited and the activity remains a Module BO activity. The example also shows how the representative operating year is established (Section 7.2.6).</t>
  </si>
  <si>
    <t>Additionality. Assumed demonstrated through the full assessment of Section 6 for this illustration. The pre-existing asset has a certified RUL of six operating years at the activity start date (Section 3.2.2(b)(ii)).</t>
  </si>
  <si>
    <t>Representative operating year of the pre-existing asset (Section 7.2.6, where-table of eq. 3)</t>
  </si>
  <si>
    <t>Operating year</t>
  </si>
  <si>
    <t>Net generation (MWh)</t>
  </si>
  <si>
    <t>Resource index</t>
  </si>
  <si>
    <t>Normalised (MWh)</t>
  </si>
  <si>
    <t>Most recent year minus 2</t>
  </si>
  <si>
    <t>Resource index: ratio of the year's wind resource to the long-term mean</t>
  </si>
  <si>
    <t>Most recent year minus 1</t>
  </si>
  <si>
    <t>Most recent year</t>
  </si>
  <si>
    <t>Explanation</t>
  </si>
  <si>
    <t>Mean of the normalised values</t>
  </si>
  <si>
    <t>Resource-normalised mean</t>
  </si>
  <si>
    <t>Median of the normalised values</t>
  </si>
  <si>
    <t>Used where variability exceeds 10%</t>
  </si>
  <si>
    <t>Inter-annual variability</t>
  </si>
  <si>
    <t>Range of the normalised values divided by their mean (convention used in this tool)</t>
  </si>
  <si>
    <t>Representative operating year</t>
  </si>
  <si>
    <t>EG_representative</t>
  </si>
  <si>
    <t>Mean, or the more conservative (higher) of mean and median where variability exceeds 10%</t>
  </si>
  <si>
    <t>Remaining Useful Life of the pre-existing asset</t>
  </si>
  <si>
    <t>RUL</t>
  </si>
  <si>
    <t>operating years</t>
  </si>
  <si>
    <t>Determined under A6.4-AMT-006 (Section 3.2.2(b)(ii))</t>
  </si>
  <si>
    <t>Net electricity supplied by the repowered wind farm</t>
  </si>
  <si>
    <t>Monitored (Section 14); held constant for illustration</t>
  </si>
  <si>
    <t>Capacity of new turbines</t>
  </si>
  <si>
    <t>MW AC</t>
  </si>
  <si>
    <t>Under Module BO, only new or replaced generating equipment carries embodied emissions (eq. 36)</t>
  </si>
  <si>
    <t>Conservative uplift</t>
  </si>
  <si>
    <t>Annual degradation rate, onshore wind</t>
  </si>
  <si>
    <t>Embodied factor, wind</t>
  </si>
  <si>
    <t>tCO2e/MW</t>
  </si>
  <si>
    <t>Technical lifetime, onshore wind</t>
  </si>
  <si>
    <t>Operating years elapsed since the activity start</t>
  </si>
  <si>
    <t>t_op</t>
  </si>
  <si>
    <t>Counted from zero in the first crediting year (convention used in this tool)</t>
  </si>
  <si>
    <t>Step 2: declining baseline generation</t>
  </si>
  <si>
    <t>EG_baseline,BO,y</t>
  </si>
  <si>
    <t>Section 7.2.6, eq. 3 (while t_op &lt; RUL) and eq. 4 (zero once t_op ≥ RUL)</t>
  </si>
  <si>
    <t>Step 2: credited increment</t>
  </si>
  <si>
    <t>EG_PJ,BO,y</t>
  </si>
  <si>
    <t>Section 7.2.6, eq. 5</t>
  </si>
  <si>
    <t>Step 2: Module BO baseline</t>
  </si>
  <si>
    <t>BE_BO,y</t>
  </si>
  <si>
    <t>Section 7.2.6, eq. 6</t>
  </si>
  <si>
    <t>Section 8, eq. 20: none in this example</t>
  </si>
  <si>
    <t>Embodied emissions of the new turbines</t>
  </si>
  <si>
    <t>Section 9.4.3, eq. 36; N = MIN(25, 15) = 15 years</t>
  </si>
  <si>
    <t>Wake leakage</t>
  </si>
  <si>
    <t>LE_wake,y</t>
  </si>
  <si>
    <t>Section 9.4.4: no third-party array within 5 km</t>
  </si>
  <si>
    <t>Section 10.1, eq. 41 and 42</t>
  </si>
  <si>
    <t>Section 10.1, eq. 41a</t>
  </si>
  <si>
    <t>Results for years 1 to 15 are on the Crediting period sheet. The baseline declines by the degradation rate each year and falls to zero once the operating years elapsed reach the RUL (year 7 here). From then on, the full output of the repowered wind farm is credited. Under Section 6.1.3, additionality is assessed at validation and renewal only, so the end of the RUL does not trigger a new assessment.</t>
  </si>
  <si>
    <t>Example 3. Module ST: Standalone grid-connected battery (Tier 2)</t>
  </si>
  <si>
    <t>G-RESET Version 1.0, Section 7.2.7, Section 10 (eq. 43) and Annex 2. Illustrative example.</t>
  </si>
  <si>
    <t>What this example shows. A 50 MWh lithium iron phosphate battery charges from the grid in the middle of the day, when the operating margin is low, and discharges at the evening peak, when it is high. Charging emissions are attributed to the discharged energy through the rolling carbon pool of Annex 2, A 2.7, and the reductions are reconciled under eq. 43 with the floor applied to the monitoring-period total. A second table reproduces the two-cycle illustration of Annex 2, A 2.9, showing why a battery whose operation increases emissions earns no credits.</t>
  </si>
  <si>
    <t>Additionality. The battery is not of a type listed on the Positive List (Annex 6, Table 6.2), so the full assessment of Section 6 applies. It is assumed to be demonstrated for this illustration.</t>
  </si>
  <si>
    <t>Usable energy capacity</t>
  </si>
  <si>
    <t>Cap_s [GR-N17]</t>
  </si>
  <si>
    <t>One full cycle per day</t>
  </si>
  <si>
    <t>Round-trip efficiency</t>
  </si>
  <si>
    <t>RTE</t>
  </si>
  <si>
    <t>Measured or specified (Section 10.1)</t>
  </si>
  <si>
    <t>Operating days per year</t>
  </si>
  <si>
    <t>days</t>
  </si>
  <si>
    <t>Representative day scaled to a year</t>
  </si>
  <si>
    <t>Year of cell augmentation</t>
  </si>
  <si>
    <t>y_aug [GR-M24]</t>
  </si>
  <si>
    <t>year</t>
  </si>
  <si>
    <t>Augmentation to restore capacity</t>
  </si>
  <si>
    <t>Augmented energy capacity</t>
  </si>
  <si>
    <t>Cap_aug [GR-N17]</t>
  </si>
  <si>
    <t>30% of the usable capacity</t>
  </si>
  <si>
    <t>Fire-suppression emissions</t>
  </si>
  <si>
    <t>AE_fss,y</t>
  </si>
  <si>
    <t>Section 8.8: zero, because a low-GWP agent (FK-5-1-12) is used</t>
  </si>
  <si>
    <t>Embodied factor, LFP storage</t>
  </si>
  <si>
    <t>EF_Embodied,sto</t>
  </si>
  <si>
    <t>Embodied factor, LFP cell/pack</t>
  </si>
  <si>
    <t>EF_cell/pack</t>
  </si>
  <si>
    <t>Technical lifetime, lithium-ion battery</t>
  </si>
  <si>
    <t>LT_s</t>
  </si>
  <si>
    <t>Representative day: hourly reconciliation with the rolling carbon pool (Annex 2, A 2.4, A 2.7 and A 2.8)</t>
  </si>
  <si>
    <t>EF_grid,OM,h (tCO2/MWh)</t>
  </si>
  <si>
    <t>Charged EC_charge,h (MWh)</t>
  </si>
  <si>
    <t>Discharged EG_discharge,h (MWh)</t>
  </si>
  <si>
    <t>Pool energy at start (MWh)</t>
  </si>
  <si>
    <t>Pool intensity at start (tCO2/MWh)</t>
  </si>
  <si>
    <t>Pool energy after charging (MWh)</t>
  </si>
  <si>
    <t>Pool intensity after charging EF_pool,h (tCO2/MWh)</t>
  </si>
  <si>
    <t>Pool energy at end (MWh)</t>
  </si>
  <si>
    <t>Displacement EG×EF_OM×(1-DAF) (tCO2e)</t>
  </si>
  <si>
    <t>Charging EG×EF_pool÷RTE (tCO2e)</t>
  </si>
  <si>
    <t>Interval net (tCO2e)</t>
  </si>
  <si>
    <t>Daily total</t>
  </si>
  <si>
    <t>Electricity discharged in the year</t>
  </si>
  <si>
    <t>Σ EG_discharge,h,y</t>
  </si>
  <si>
    <t>Metered (Section 14)</t>
  </si>
  <si>
    <t>Module ST baseline (best estimate)</t>
  </si>
  <si>
    <t>BE_ST,y</t>
  </si>
  <si>
    <t>Section 7.2.7, eq. 7; reported only, because storage is settled through eq. 43</t>
  </si>
  <si>
    <t>Charging emissions (reporting total)</t>
  </si>
  <si>
    <t>AE_charge,y</t>
  </si>
  <si>
    <t>Section 8.7, eq. 32; not deducted separately (disaggregation rule, Section 10.1.2)</t>
  </si>
  <si>
    <t>Sum of interval net values over the year</t>
  </si>
  <si>
    <t>Σ (displacement - charging)</t>
  </si>
  <si>
    <t>Annex 2, A 2.8.1: summed over every interval of the monitoring period</t>
  </si>
  <si>
    <t>Net reductions from storage</t>
  </si>
  <si>
    <t>ER_sto,y</t>
  </si>
  <si>
    <t>Section 10.1, eq. 43: the floor applies to the monitoring-period total, not to each interval</t>
  </si>
  <si>
    <t>Uncredited contribution to the host Party (storage)</t>
  </si>
  <si>
    <t>Δ_sto,y</t>
  </si>
  <si>
    <t>Section 7.6, eq. 19b</t>
  </si>
  <si>
    <t>Embodied emissions, base installation</t>
  </si>
  <si>
    <t>LE_Embodied,sto,y</t>
  </si>
  <si>
    <t>Section 9.4.3, eq. 37, first term</t>
  </si>
  <si>
    <t>Embodied emissions, augmentation (from the augmentation year)</t>
  </si>
  <si>
    <t>LE_Embodied,sto,y (aug.)</t>
  </si>
  <si>
    <t>Section 9.4.3, eq. 37, second term: cell/pack factor only, over the remaining years</t>
  </si>
  <si>
    <t>Net reductions before the deficit ledger, year 1</t>
  </si>
  <si>
    <t>Section 10.1, eq. 41</t>
  </si>
  <si>
    <t>Results for years 1 to 15 are on the Crediting period sheet. From year 10, the embodied emissions of the augmentation are added to those of the base installation (eq. 37).</t>
  </si>
  <si>
    <t>Why the floor applies to the total: the two-cycle illustration of Annex 2, A 2.9 (DAF set to zero)</t>
  </si>
  <si>
    <t>Cycle</t>
  </si>
  <si>
    <t>Charge EF (tCO2/MWh)</t>
  </si>
  <si>
    <t>Discharge EF_OM (tCO2/MWh)</t>
  </si>
  <si>
    <t>Discharged (MWh)</t>
  </si>
  <si>
    <t>Cycle 1: charge when clean, discharge when carbon-intensive</t>
  </si>
  <si>
    <t>Cycle 2: charge when carbon-intensive, discharge when clean</t>
  </si>
  <si>
    <t>Scenario A (carbon-blind dispatch): total of cycles 1 and 2</t>
  </si>
  <si>
    <t>The emission-increasing cycle offsets the beneficial one</t>
  </si>
  <si>
    <t>Scenario A: credited reductions</t>
  </si>
  <si>
    <t>ER_sto</t>
  </si>
  <si>
    <t>Net emitter over the period, so nothing is credited</t>
  </si>
  <si>
    <t>Scenario B (carbon-optimised dispatch): two cycles like cycle 1</t>
  </si>
  <si>
    <t>Only carbon-optimised operation earns credits</t>
  </si>
  <si>
    <t>Example 4. Module CG: Captive solar and battery displacing diesel</t>
  </si>
  <si>
    <t>G-RESET Version 1.0, Sections 7.2.9, 8.3 and 9. Illustrative example, year 1.</t>
  </si>
  <si>
    <t>What this example shows. A grid-connected factory installs captive solar photovoltaic generation and a DC-coupled battery, which displace an on-site diesel generator. A small diesel generator is kept for backup. The baseline uses the lower of the captive diesel factor and the grid factor (eq. 9). The fossil-fuel conditions of Section 8.3.2 are tested for each calendar month: in July, heavy backup use exceeds the 5% cap, so July is a non-conforming month; in March, backup fuel used during a declared grid outage is deducted but not counted towards the cap.</t>
  </si>
  <si>
    <t>Additionality. Assessed at activity level through an investment comparison against continued diesel or grid supply (Section 6.5.1(c)(iv)). Assumed demonstrated for this illustration. The battery charges only from the co-located solar plant (DC-coupled), so it has no grid-charging emissions (Annex 2, A 2.6.2).</t>
  </si>
  <si>
    <t>Captive solar capacity, DC</t>
  </si>
  <si>
    <t>6 MW AC at a DC/AC ratio of 1.25</t>
  </si>
  <si>
    <t>Captive battery capacity</t>
  </si>
  <si>
    <t>LFP, DC-coupled</t>
  </si>
  <si>
    <t>Net electrical efficiency of the backup generator</t>
  </si>
  <si>
    <t>η_gen [GR-N13]</t>
  </si>
  <si>
    <t>Design value (Section 8.3.2, eq. 24)</t>
  </si>
  <si>
    <t>Captive diesel emission factor</t>
  </si>
  <si>
    <t>NCV_i</t>
  </si>
  <si>
    <t>Factor for CH4 and N2O</t>
  </si>
  <si>
    <t>τ</t>
  </si>
  <si>
    <t>hours per year</t>
  </si>
  <si>
    <t>Derived values</t>
  </si>
  <si>
    <t>Emission coefficient of diesel</t>
  </si>
  <si>
    <t>COEF_i,y</t>
  </si>
  <si>
    <t>tCO2e/t</t>
  </si>
  <si>
    <t>Module CG baseline emission factor</t>
  </si>
  <si>
    <t>EF_baseline,CG,y</t>
  </si>
  <si>
    <t>Section 7.2.9, eq. 9 (grid-connected facility)</t>
  </si>
  <si>
    <t>Monthly fossil-fuel test (Section 8.3.2, eq. 23 and eq. 24)</t>
  </si>
  <si>
    <t>Month</t>
  </si>
  <si>
    <t>Electricity displaced EG_m (MWh)</t>
  </si>
  <si>
    <t>Fuel counted towards the cap FC_cap,m (t)</t>
  </si>
  <si>
    <t>Fuel during declared outage (t)</t>
  </si>
  <si>
    <t>E_fossil,m (MWh) eq. 24</t>
  </si>
  <si>
    <t>f_fossil,m eq. 23</t>
  </si>
  <si>
    <t>(a) Cap test</t>
  </si>
  <si>
    <t>(b) Fuel attributable to start-up or backup</t>
  </si>
  <si>
    <t>Backup hours counted</t>
  </si>
  <si>
    <t>Cumulative hours in the year</t>
  </si>
  <si>
    <t>(c) Backup limit</t>
  </si>
  <si>
    <t>Non-conforming month</t>
  </si>
  <si>
    <t>Electricity credited (MWh)</t>
  </si>
  <si>
    <t>Fossil-fuel emissions (tCO2e) eq. 21</t>
  </si>
  <si>
    <t>January</t>
  </si>
  <si>
    <t>Yes</t>
  </si>
  <si>
    <t>February</t>
  </si>
  <si>
    <t>March</t>
  </si>
  <si>
    <t>April</t>
  </si>
  <si>
    <t>May</t>
  </si>
  <si>
    <t>June</t>
  </si>
  <si>
    <t>July</t>
  </si>
  <si>
    <t>August</t>
  </si>
  <si>
    <t>September</t>
  </si>
  <si>
    <t>October</t>
  </si>
  <si>
    <t>November</t>
  </si>
  <si>
    <t>December</t>
  </si>
  <si>
    <t>Year total</t>
  </si>
  <si>
    <t>Reading the table. Each month is tested on its own. July fails the cap at about 10% although the share for the whole year is under 2%: testing each month prevents a concentrated episode of fossil use from being absorbed by the annual total. The generation of July is not credited, while its fuel remains deducted. In March, the fuel used during the declared outage is deducted but not counted towards the cap or the backup limit.</t>
  </si>
  <si>
    <t>Electricity credited in the year</t>
  </si>
  <si>
    <t>EG_displaced,y</t>
  </si>
  <si>
    <t>Monthly totals, with non-conforming months set to zero (Section 8.3.2(d))</t>
  </si>
  <si>
    <t>Step 2: Module CG baseline</t>
  </si>
  <si>
    <t>BE_CG,y</t>
  </si>
  <si>
    <t>Section 7.2.9, eq. 8</t>
  </si>
  <si>
    <t>Fossil-fuel emissions</t>
  </si>
  <si>
    <t>AE_fc,y</t>
  </si>
  <si>
    <t>Section 8.3, eq. 21: all fuel, including the outage month and the non-conforming month</t>
  </si>
  <si>
    <t>Embodied emissions of the solar plant and battery</t>
  </si>
  <si>
    <t>LE_Embodied,y</t>
  </si>
  <si>
    <t>Section 9.4.3, eq. 35 to 37</t>
  </si>
  <si>
    <t>Example 5. Module VPP: Virtual power plant of 2,000 homes</t>
  </si>
  <si>
    <t>G-RESET Version 1.0, Sections 7.2.10, 10 and Annexes 2, 4 and 6. Illustrative example.</t>
  </si>
  <si>
    <t>What this example shows. A virtual power plant aggregates rooftop solar (10 MWp) and home batteries (20 MWh) in 2,000 homes. Telemetry comes from inverter and platform interfaces of accuracy class 1 or 2, so the Aggregation Reconciliation Waiver applies: a 3% discount is applied to the aggregated metered quantities, which are reconciled against settlement records at each verification (Annex 4, A 4.5). The host system has no hourly marginal data, so the batteries are accounted under Tier 1, with the conservativeness discount on the discharge side and the highest factor of the charging block on the charge side (Annex 2, A 2.5). The batteries charge from the grid in the off-peak block and discharge in the peak block.</t>
  </si>
  <si>
    <t>Additionality. Assessed at the aggregator or platform level. The activity is micro-scale (below 10,000 tCO2e per year, assessed on the Activity Cluster under Section 3.5), and a VPP aggregating residential distributed energy resources is listed on the Positive List (PL-3, Annex 6, Table 6.2). It is therefore deemed additional, subject to regulatory surplus (Section 6.2.1(a)).</t>
  </si>
  <si>
    <t>Aggregated rooftop solar capacity, DC</t>
  </si>
  <si>
    <t>Standard mounting</t>
  </si>
  <si>
    <t>Aggregated home-battery capacity</t>
  </si>
  <si>
    <t>LFP</t>
  </si>
  <si>
    <t>Aggregated net-new generation exported (telemetry)</t>
  </si>
  <si>
    <t>EG_agg,gen,y</t>
  </si>
  <si>
    <t>Across the Digital Aggregation Perimeter</t>
  </si>
  <si>
    <t>Aggregated battery discharge in the peak block (telemetry)</t>
  </si>
  <si>
    <t>Σ EG_agg,discharge,h,y</t>
  </si>
  <si>
    <t>Charged from the grid in the off-peak block</t>
  </si>
  <si>
    <t>Tier 1 peak-block operating margin</t>
  </si>
  <si>
    <t>Highest operating margin within the off-peak block</t>
  </si>
  <si>
    <t>Year 1: generation component (Section 7.2.10, eq. 12)</t>
  </si>
  <si>
    <t>Aggregated generation after the waiver discount</t>
  </si>
  <si>
    <t>Annex 4, A 4.5.1(a): 3% discount on the aggregated result</t>
  </si>
  <si>
    <t>Step 2: VPP generation baseline</t>
  </si>
  <si>
    <t>BE_VPP,gen,y</t>
  </si>
  <si>
    <t>Section 7.2.10, eq. 12 (Module GG approach)</t>
  </si>
  <si>
    <t>Year 1: storage component under Tier 1 (eq. 13 and eq. 43; Annex 2, A 2.5)</t>
  </si>
  <si>
    <t>Aggregated discharge after the waiver discount</t>
  </si>
  <si>
    <t>Discharge-side factor (peak block × DF_ToU)</t>
  </si>
  <si>
    <t>EF_grid,OM,h,y</t>
  </si>
  <si>
    <t>Annex 2, A 2.5: 10% conservativeness discount on the discharge side</t>
  </si>
  <si>
    <t>Charge-side factor (highest within the off-peak block)</t>
  </si>
  <si>
    <t>EF_grid,charge,attr,h,y</t>
  </si>
  <si>
    <t>Annex 2, A 2.5: the highest operating margin within the charging block</t>
  </si>
  <si>
    <t>Displacement term</t>
  </si>
  <si>
    <t>Σ EG×EF_OM×(1-DAF)</t>
  </si>
  <si>
    <t>eq. 43, discharge side (DAF applied once, on this side only)</t>
  </si>
  <si>
    <t>Charging term</t>
  </si>
  <si>
    <t>Σ EG×EF_charge÷RTE</t>
  </si>
  <si>
    <t>eq. 43, charging emissions per unit discharged</t>
  </si>
  <si>
    <t>Section 10.1, eq. 43</t>
  </si>
  <si>
    <t>Year 1: leakage and net emission reductions</t>
  </si>
  <si>
    <t>Embodied emissions of rooftop solar and batteries</t>
  </si>
  <si>
    <t>Section 10.1, eq. 41 (no activity emissions)</t>
  </si>
  <si>
    <t>Section 10.1, eq. 41a; capped at 10,000 tCO2e for a micro-scale activity (Section 6.2.1(a))</t>
  </si>
  <si>
    <t>Micro-scale check</t>
  </si>
  <si>
    <t>Positive-list route available only while the activity remains micro-scale</t>
  </si>
  <si>
    <t>Results for years 1 to 15 are on the Crediting period sheet.</t>
  </si>
  <si>
    <t>Example 6. Integrated Solution: solar photovoltaic plant with a co-located battery</t>
  </si>
  <si>
    <t>G-RESET Version 1.0, Sections 6.7, 7, 9, 10 and Annex 2, A 2.3.2. Illustrative example.</t>
  </si>
  <si>
    <t>What this example shows. A 50 MW (AC) solar plant (Module GG) and a 50 MWh battery (Module ST) on the same site are validated together as an Integrated Solution. The battery is DC-coupled and technically restricted from grid charging, so its charging factor is zero (Annex 2, A 2.6.2). Solar electricity sent to the battery is not credited under Module GG; it is credited through the battery discharge, subject to the co-located generation safeguard of Annex 2, A 2.3.2, which caps the battery credit at what the same solar electricity would have earned if exported directly at the combined margin.</t>
  </si>
  <si>
    <t>Additionality. The Investment Analysis is conducted for each module separately where the modules could be implemented separately, and together only where they could not (Section 6.7.1). Each module is tested for common practice in its own technology class (Section 6.6.1(i)). Assumed demonstrated for this illustration.</t>
  </si>
  <si>
    <t>Solar capacity, AC</t>
  </si>
  <si>
    <t>Solar capacity, DC</t>
  </si>
  <si>
    <t>DC/AC ratio of 1.25</t>
  </si>
  <si>
    <t>Solar electricity generated</t>
  </si>
  <si>
    <t>Solar electricity sent to the battery</t>
  </si>
  <si>
    <t>EG_charged,co-located,y</t>
  </si>
  <si>
    <t>Metered on the DC bus</t>
  </si>
  <si>
    <t>Battery capacity</t>
  </si>
  <si>
    <t>Year 1: Module GG, solar electricity exported directly</t>
  </si>
  <si>
    <t>Solar electricity exported directly</t>
  </si>
  <si>
    <t>Electricity routed to the battery is excluded from Module GG (Sections 5.1.2(e) and 11.3.1(d)); no double counting</t>
  </si>
  <si>
    <t>Section 7.2.5, eq. 1</t>
  </si>
  <si>
    <t>Year 1: Module ST, battery discharge with the co-located generation safeguard</t>
  </si>
  <si>
    <t>Battery discharge to the grid</t>
  </si>
  <si>
    <t>Charged energy × round-trip efficiency</t>
  </si>
  <si>
    <t>eq. 43, discharge side</t>
  </si>
  <si>
    <t>eq. 43: zero, because the battery charges only from co-located solar (Annex 2, A 2.6.2)</t>
  </si>
  <si>
    <t>Storage reductions before the safeguard</t>
  </si>
  <si>
    <t>Safeguard cap: value of the same solar electricity exported directly</t>
  </si>
  <si>
    <t>Annex 2, A 2.3.2, second argument of MIN</t>
  </si>
  <si>
    <t>ER_sto,co-located,y</t>
  </si>
  <si>
    <t>Annex 2, A 2.3.2: the lower of the two values</t>
  </si>
  <si>
    <t>Effect of the safeguard</t>
  </si>
  <si>
    <t>Credit not issued because routing solar through the battery cannot raise its factor above the combined margin</t>
  </si>
  <si>
    <t>Results over the crediting period</t>
  </si>
  <si>
    <t>Years 1 to 15 for each example, with the deficit ledger of eq. 41a and 41b (tCO2e)</t>
  </si>
  <si>
    <t>Each table draws its year-1 values from the example sheet. Inputs are held constant across years unless the example states otherwise (the declining baseline of Example 2 and the augmentation of Example 3).</t>
  </si>
  <si>
    <t>Example 1. Module GG: greenfield solar PV</t>
  </si>
  <si>
    <t>Year of the crediting period</t>
  </si>
  <si>
    <t>Total</t>
  </si>
  <si>
    <t>Crediting baseline, BE_gen,y</t>
  </si>
  <si>
    <t>Leakage, LE_y</t>
  </si>
  <si>
    <t>Net reductions before the ledger, ER_gross,y</t>
  </si>
  <si>
    <t>Deficit brought forward, D(y-1) (tCO2e)</t>
  </si>
  <si>
    <t>Net emission reductions, ER_y (tCO2e), eq. 41a</t>
  </si>
  <si>
    <t>Deficit carried forward, D_y (tCO2e), eq. 41b</t>
  </si>
  <si>
    <t>Example 2. Module BO: wind repowering (declining baseline; RUL of six operating years)</t>
  </si>
  <si>
    <t>Operating years elapsed, t_op</t>
  </si>
  <si>
    <t>Declining baseline generation, EG_baseline,BO,y (MWh)</t>
  </si>
  <si>
    <t>Credited increment, EG_PJ,BO,y (MWh)</t>
  </si>
  <si>
    <t>Example 3. Module ST: standalone battery (augmentation in year 10)</t>
  </si>
  <si>
    <t>Net reductions from storage, ER_sto,y</t>
  </si>
  <si>
    <t>Embodied emissions, LE_y</t>
  </si>
  <si>
    <t>Example 5. Module VPP: virtual power plant</t>
  </si>
  <si>
    <t>Crediting baseline, generation, BE_gen,y</t>
  </si>
  <si>
    <t>Example 6. Integrated Solution: solar PV with a co-located battery</t>
  </si>
  <si>
    <t>Crediting baseline, Module GG, BE_gen,y</t>
  </si>
  <si>
    <t>Summary of the worked examples</t>
  </si>
  <si>
    <t>Year-1 results and totals over the 15-year crediting period (tCO2e)</t>
  </si>
  <si>
    <t>Example</t>
  </si>
  <si>
    <t>Module</t>
  </si>
  <si>
    <t>Crediting baseline and storage, year 1</t>
  </si>
  <si>
    <t>Activity emissions, year 1</t>
  </si>
  <si>
    <t>Leakage, year 1</t>
  </si>
  <si>
    <t>Net emission reductions, years 1 to 15</t>
  </si>
  <si>
    <t>1. Greenfield solar PV</t>
  </si>
  <si>
    <t>GG</t>
  </si>
  <si>
    <t>2. Wind repowering</t>
  </si>
  <si>
    <t>BO</t>
  </si>
  <si>
    <t>3. Standalone battery</t>
  </si>
  <si>
    <t>ST</t>
  </si>
  <si>
    <t>4. Captive solar and battery</t>
  </si>
  <si>
    <t>CG</t>
  </si>
  <si>
    <t>Year 1 only</t>
  </si>
  <si>
    <t>5. Virtual power plant</t>
  </si>
  <si>
    <t>6. Integrated Solution</t>
  </si>
  <si>
    <t>GG and ST</t>
  </si>
  <si>
    <t>Notes. For Modules ST and VPP and the Integrated Solution, the baseline column includes the storage reductions of eq. 43, which are settled separately from the generation baseline (Section 10.1). The captive example is shown for year 1, because it illustrates the monthly fossil-fuel test. All values are illustrative.</t>
  </si>
  <si>
    <t>Worked examples for Modules GG, BO, ST, CG and VPP, an Integrated Solution, and the crediting-period ledger. See "Read me" for instructions and "Summary" for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</si>
</sst>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809]dd\ mmmm\ yyyy;@"/>
    <numFmt numFmtId="165" formatCode="0.0%"/>
    <numFmt numFmtId="166" formatCode="0.000"/>
    <numFmt numFmtId="167" formatCode="#,##0.0"/>
    <numFmt numFmtId="168" formatCode="0.0000"/>
  </numFmts>
  <fonts count="53" x14ac:knownFonts="1">
    <font>
      <sz val="11"/>
      <color indexed="8"/>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u/>
      <sz val="11"/>
      <color theme="11"/>
      <name val="Calibri"/>
      <family val="2"/>
    </font>
    <font>
      <sz val="11"/>
      <color indexed="8"/>
      <name val="Verdana"/>
      <family val="2"/>
      <scheme val="minor"/>
    </font>
    <font>
      <b/>
      <sz val="11"/>
      <color indexed="8"/>
      <name val="Verdana"/>
      <family val="2"/>
      <scheme val="minor"/>
    </font>
    <font>
      <sz val="9"/>
      <color indexed="8"/>
      <name val="Verdana"/>
      <family val="2"/>
      <scheme val="minor"/>
    </font>
    <font>
      <b/>
      <sz val="12"/>
      <color theme="0"/>
      <name val="Verdana"/>
      <family val="2"/>
      <scheme val="minor"/>
    </font>
    <font>
      <sz val="12"/>
      <color indexed="8"/>
      <name val="Verdana"/>
      <family val="2"/>
      <scheme val="minor"/>
    </font>
    <font>
      <sz val="8"/>
      <name val="Calibri"/>
      <family val="2"/>
    </font>
    <font>
      <b/>
      <sz val="24"/>
      <color theme="4"/>
      <name val="Verdana"/>
      <family val="2"/>
      <scheme val="minor"/>
    </font>
    <font>
      <sz val="12"/>
      <color indexed="8"/>
      <name val="Verdana"/>
      <family val="2"/>
      <scheme val="minor"/>
    </font>
    <font>
      <b/>
      <sz val="12"/>
      <color indexed="8"/>
      <name val="Verdana"/>
      <family val="2"/>
      <scheme val="minor"/>
    </font>
    <font>
      <b/>
      <sz val="9"/>
      <color indexed="8"/>
      <name val="Verdana"/>
      <family val="2"/>
      <scheme val="minor"/>
    </font>
    <font>
      <b/>
      <sz val="12"/>
      <color rgb="FF000000"/>
      <name val="Verdana"/>
      <family val="2"/>
      <scheme val="minor"/>
    </font>
    <font>
      <sz val="12"/>
      <color rgb="FF000000"/>
      <name val="Verdana"/>
      <family val="2"/>
      <scheme val="minor"/>
    </font>
    <font>
      <sz val="11"/>
      <color theme="1"/>
      <name val="Calibri"/>
      <family val="2"/>
      <charset val="1"/>
    </font>
    <font>
      <sz val="12"/>
      <color theme="1"/>
      <name val="Verdana"/>
      <family val="2"/>
    </font>
    <font>
      <i/>
      <sz val="12"/>
      <color rgb="FF595959"/>
      <name val="Verdana"/>
      <family val="2"/>
    </font>
    <font>
      <b/>
      <sz val="12"/>
      <color rgb="FFFFFFFF"/>
      <name val="Verdana"/>
      <family val="2"/>
    </font>
    <font>
      <sz val="12"/>
      <name val="Verdana"/>
      <family val="2"/>
    </font>
    <font>
      <b/>
      <sz val="12"/>
      <name val="Verdana"/>
      <family val="2"/>
    </font>
    <font>
      <sz val="12"/>
      <color rgb="FF0000FF"/>
      <name val="Verdana"/>
      <family val="2"/>
    </font>
    <font>
      <sz val="12"/>
      <color rgb="FF000000"/>
      <name val="Verdana"/>
      <family val="2"/>
    </font>
    <font>
      <sz val="12"/>
      <color rgb="FF008000"/>
      <name val="Verdana"/>
      <family val="2"/>
    </font>
    <font>
      <b/>
      <sz val="24"/>
      <color rgb="FF00B9BD"/>
      <name val="Verdana"/>
      <family val="2"/>
    </font>
    <font>
      <sz val="24"/>
      <color theme="1"/>
      <name val="Verdana"/>
      <family val="2"/>
    </font>
    <font>
      <sz val="12"/>
      <color rgb="FF595959"/>
      <name val="Verdana"/>
      <family val="2"/>
    </font>
    <font>
      <sz val="24"/>
      <color rgb="FF00B9BD"/>
      <name val="Verdana"/>
      <family val="2"/>
    </font>
    <font>
      <b/>
      <sz val="12"/>
      <color rgb="FF000000"/>
      <name val="Verdana"/>
      <family val="2"/>
    </font>
    <font>
      <sz val="12"/>
      <color theme="1"/>
      <name val="Verdana"/>
      <family val="2"/>
      <scheme val="minor"/>
    </font>
    <font>
      <i/>
      <sz val="12"/>
      <color rgb="FF595959"/>
      <name val="Verdana"/>
      <family val="2"/>
      <scheme val="minor"/>
    </font>
    <font>
      <b/>
      <sz val="12"/>
      <name val="Verdana"/>
      <family val="2"/>
      <scheme val="minor"/>
    </font>
    <font>
      <sz val="12"/>
      <name val="Verdana"/>
      <family val="2"/>
      <scheme val="minor"/>
    </font>
    <font>
      <b/>
      <sz val="20"/>
      <color theme="4"/>
      <name val="Verdana"/>
      <family val="2"/>
    </font>
    <font>
      <sz val="20"/>
      <color theme="4"/>
      <name val="Verdana"/>
      <family val="2"/>
    </font>
    <font>
      <b/>
      <sz val="20"/>
      <color theme="4"/>
      <name val="Verdana"/>
      <family val="2"/>
      <scheme val="minor"/>
    </font>
    <font>
      <sz val="20"/>
      <color theme="4"/>
      <name val="Verdana"/>
      <family val="2"/>
      <scheme val="minor"/>
    </font>
  </fonts>
  <fills count="35">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4"/>
        <bgColor indexed="64"/>
      </patternFill>
    </fill>
    <fill>
      <patternFill patternType="solid">
        <fgColor theme="0"/>
      </patternFill>
    </fill>
    <fill>
      <patternFill patternType="solid">
        <fgColor rgb="FF00B9BD"/>
        <bgColor rgb="FF008080"/>
      </patternFill>
    </fill>
    <fill>
      <patternFill patternType="solid">
        <fgColor rgb="FF00B9BD"/>
        <bgColor indexed="64"/>
      </patternFill>
    </fill>
    <fill>
      <patternFill patternType="solid">
        <fgColor rgb="FFDCEEF1"/>
        <bgColor rgb="FFCCFFFF"/>
      </patternFill>
    </fill>
    <fill>
      <patternFill patternType="solid">
        <fgColor rgb="FFFFF2CC"/>
        <bgColor rgb="FFFFFFFF"/>
      </patternFill>
    </fill>
    <fill>
      <patternFill patternType="solid">
        <fgColor rgb="FF00B9BD"/>
        <bgColor rgb="FFCCFFFF"/>
      </patternFill>
    </fill>
    <fill>
      <patternFill patternType="solid">
        <fgColor theme="4"/>
        <bgColor rgb="FFCCFFFF"/>
      </patternFill>
    </fill>
    <fill>
      <patternFill patternType="solid">
        <fgColor theme="4"/>
        <bgColor rgb="FF008080"/>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style="thin">
        <color rgb="FFBFBFBF"/>
      </bottom>
      <diagonal/>
    </border>
  </borders>
  <cellStyleXfs count="44">
    <xf numFmtId="0" fontId="0"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7" fillId="4" borderId="0" applyNumberFormat="0" applyBorder="0" applyAlignment="0" applyProtection="0"/>
    <xf numFmtId="0" fontId="11" fillId="21" borderId="1" applyNumberFormat="0" applyAlignment="0" applyProtection="0"/>
    <xf numFmtId="0" fontId="13" fillId="22" borderId="2" applyNumberFormat="0" applyAlignment="0" applyProtection="0"/>
    <xf numFmtId="0" fontId="15" fillId="0" borderId="0" applyNumberFormat="0" applyFill="0" applyBorder="0" applyAlignment="0" applyProtection="0"/>
    <xf numFmtId="0" fontId="6" fillId="5" borderId="0" applyNumberFormat="0" applyBorder="0" applyAlignment="0" applyProtection="0"/>
    <xf numFmtId="0" fontId="3" fillId="0" borderId="3" applyNumberFormat="0" applyFill="0" applyAlignment="0" applyProtection="0"/>
    <xf numFmtId="0" fontId="4" fillId="0" borderId="4" applyNumberFormat="0" applyFill="0" applyAlignment="0" applyProtection="0"/>
    <xf numFmtId="0" fontId="5" fillId="0" borderId="5" applyNumberFormat="0" applyFill="0" applyAlignment="0" applyProtection="0"/>
    <xf numFmtId="0" fontId="5" fillId="0" borderId="0" applyNumberFormat="0" applyFill="0" applyBorder="0" applyAlignment="0" applyProtection="0"/>
    <xf numFmtId="0" fontId="9" fillId="8" borderId="1" applyNumberFormat="0" applyAlignment="0" applyProtection="0"/>
    <xf numFmtId="0" fontId="12" fillId="0" borderId="6" applyNumberFormat="0" applyFill="0" applyAlignment="0" applyProtection="0"/>
    <xf numFmtId="0" fontId="8" fillId="23" borderId="0" applyNumberFormat="0" applyBorder="0" applyAlignment="0" applyProtection="0"/>
    <xf numFmtId="0" fontId="1" fillId="24" borderId="7" applyNumberFormat="0" applyFont="0" applyAlignment="0" applyProtection="0"/>
    <xf numFmtId="0" fontId="10" fillId="21" borderId="8"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applyNumberFormat="0" applyFill="0" applyBorder="0" applyAlignment="0" applyProtection="0"/>
    <xf numFmtId="0" fontId="31" fillId="0" borderId="0"/>
  </cellStyleXfs>
  <cellXfs count="107">
    <xf numFmtId="0" fontId="0" fillId="0" borderId="0" xfId="0"/>
    <xf numFmtId="0" fontId="19" fillId="0" borderId="0" xfId="0" applyFont="1" applyAlignment="1">
      <alignment horizontal="left" vertical="center" wrapText="1"/>
    </xf>
    <xf numFmtId="0" fontId="21" fillId="0" borderId="0" xfId="0" applyFont="1" applyAlignment="1">
      <alignment horizontal="left" vertical="center"/>
    </xf>
    <xf numFmtId="0" fontId="21" fillId="0" borderId="0" xfId="0" applyFont="1" applyAlignment="1">
      <alignment horizontal="left" vertical="center" wrapText="1"/>
    </xf>
    <xf numFmtId="0" fontId="19" fillId="0" borderId="0" xfId="0" applyFont="1" applyAlignment="1">
      <alignment horizontal="left" vertical="center"/>
    </xf>
    <xf numFmtId="0" fontId="23" fillId="0" borderId="0" xfId="0" applyFont="1" applyAlignment="1">
      <alignment horizontal="left" vertical="center"/>
    </xf>
    <xf numFmtId="15" fontId="23" fillId="0" borderId="0" xfId="0" applyNumberFormat="1" applyFont="1" applyAlignment="1">
      <alignment horizontal="left" vertical="center" wrapText="1"/>
    </xf>
    <xf numFmtId="0" fontId="23" fillId="0" borderId="0" xfId="0" applyFont="1" applyAlignment="1">
      <alignment horizontal="left" vertical="center" wrapText="1"/>
    </xf>
    <xf numFmtId="49" fontId="23" fillId="0" borderId="0" xfId="0" applyNumberFormat="1" applyFont="1" applyAlignment="1">
      <alignment horizontal="left" vertical="center" wrapText="1"/>
    </xf>
    <xf numFmtId="0" fontId="22" fillId="26" borderId="10" xfId="0" applyFont="1" applyFill="1" applyBorder="1" applyAlignment="1">
      <alignment horizontal="left" vertical="center"/>
    </xf>
    <xf numFmtId="0" fontId="22" fillId="26" borderId="10" xfId="0" applyFont="1" applyFill="1" applyBorder="1" applyAlignment="1">
      <alignment horizontal="left" vertical="center" wrapText="1"/>
    </xf>
    <xf numFmtId="0" fontId="20" fillId="0" borderId="0" xfId="0" applyFont="1" applyAlignment="1">
      <alignment horizontal="left" vertical="center"/>
    </xf>
    <xf numFmtId="0" fontId="19" fillId="2" borderId="0" xfId="0" applyFont="1" applyFill="1" applyAlignment="1">
      <alignment vertical="center"/>
    </xf>
    <xf numFmtId="0" fontId="23" fillId="25" borderId="0" xfId="0" applyFont="1" applyFill="1" applyAlignment="1">
      <alignment horizontal="left" vertical="center"/>
    </xf>
    <xf numFmtId="0" fontId="25" fillId="2" borderId="0" xfId="0" applyFont="1" applyFill="1" applyAlignment="1">
      <alignment vertical="center"/>
    </xf>
    <xf numFmtId="0" fontId="26" fillId="0" borderId="0" xfId="0" applyFont="1" applyAlignment="1">
      <alignment horizontal="left" vertical="center" wrapText="1"/>
    </xf>
    <xf numFmtId="164" fontId="27" fillId="0" borderId="0" xfId="0" applyNumberFormat="1" applyFont="1" applyAlignment="1">
      <alignment horizontal="left" vertical="center" wrapText="1"/>
    </xf>
    <xf numFmtId="0" fontId="28" fillId="0" borderId="0" xfId="0" applyFont="1" applyAlignment="1">
      <alignment horizontal="left" vertical="center" wrapText="1"/>
    </xf>
    <xf numFmtId="2" fontId="27" fillId="0" borderId="0" xfId="0" applyNumberFormat="1" applyFont="1" applyAlignment="1">
      <alignment horizontal="left" vertical="center" wrapText="1"/>
    </xf>
    <xf numFmtId="0" fontId="32" fillId="0" borderId="0" xfId="43" applyFont="1"/>
    <xf numFmtId="0" fontId="33" fillId="0" borderId="0" xfId="43" applyFont="1"/>
    <xf numFmtId="0" fontId="34" fillId="28" borderId="0" xfId="43" applyFont="1" applyFill="1"/>
    <xf numFmtId="0" fontId="32" fillId="28" borderId="0" xfId="43" applyFont="1" applyFill="1"/>
    <xf numFmtId="0" fontId="32" fillId="29" borderId="0" xfId="43" applyFont="1" applyFill="1"/>
    <xf numFmtId="0" fontId="36" fillId="30" borderId="11" xfId="43" applyFont="1" applyFill="1" applyBorder="1" applyAlignment="1">
      <alignment vertical="center" wrapText="1"/>
    </xf>
    <xf numFmtId="0" fontId="36" fillId="0" borderId="11" xfId="43" applyFont="1" applyBorder="1"/>
    <xf numFmtId="0" fontId="35" fillId="0" borderId="0" xfId="43" applyFont="1" applyAlignment="1">
      <alignment wrapText="1"/>
    </xf>
    <xf numFmtId="0" fontId="40" fillId="0" borderId="0" xfId="43" applyFont="1"/>
    <xf numFmtId="0" fontId="41" fillId="0" borderId="0" xfId="43" applyFont="1"/>
    <xf numFmtId="0" fontId="36" fillId="32" borderId="11" xfId="43" applyFont="1" applyFill="1" applyBorder="1" applyAlignment="1">
      <alignment vertical="center" wrapText="1"/>
    </xf>
    <xf numFmtId="0" fontId="35" fillId="0" borderId="11" xfId="43" applyFont="1" applyBorder="1" applyAlignment="1">
      <alignment vertical="top" wrapText="1"/>
    </xf>
    <xf numFmtId="3" fontId="37" fillId="0" borderId="11" xfId="43" applyNumberFormat="1" applyFont="1" applyBorder="1" applyAlignment="1">
      <alignment horizontal="right" vertical="top"/>
    </xf>
    <xf numFmtId="0" fontId="42" fillId="0" borderId="11" xfId="43" applyFont="1" applyBorder="1" applyAlignment="1">
      <alignment vertical="top" wrapText="1"/>
    </xf>
    <xf numFmtId="4" fontId="37" fillId="0" borderId="11" xfId="43" applyNumberFormat="1" applyFont="1" applyBorder="1" applyAlignment="1">
      <alignment horizontal="right" vertical="top"/>
    </xf>
    <xf numFmtId="165" fontId="37" fillId="0" borderId="11" xfId="43" applyNumberFormat="1" applyFont="1" applyBorder="1" applyAlignment="1">
      <alignment horizontal="right" vertical="top"/>
    </xf>
    <xf numFmtId="166" fontId="37" fillId="0" borderId="11" xfId="43" applyNumberFormat="1" applyFont="1" applyBorder="1" applyAlignment="1">
      <alignment horizontal="right" vertical="top"/>
    </xf>
    <xf numFmtId="167" fontId="37" fillId="0" borderId="11" xfId="43" applyNumberFormat="1" applyFont="1" applyBorder="1" applyAlignment="1">
      <alignment horizontal="right" vertical="top"/>
    </xf>
    <xf numFmtId="0" fontId="43" fillId="0" borderId="0" xfId="43" applyFont="1"/>
    <xf numFmtId="10" fontId="37" fillId="0" borderId="11" xfId="43" applyNumberFormat="1" applyFont="1" applyBorder="1" applyAlignment="1">
      <alignment horizontal="right" vertical="top"/>
    </xf>
    <xf numFmtId="3" fontId="38" fillId="0" borderId="11" xfId="43" applyNumberFormat="1" applyFont="1" applyBorder="1" applyAlignment="1">
      <alignment horizontal="right" vertical="top"/>
    </xf>
    <xf numFmtId="166" fontId="39" fillId="0" borderId="11" xfId="43" applyNumberFormat="1" applyFont="1" applyBorder="1" applyAlignment="1">
      <alignment horizontal="right" vertical="top"/>
    </xf>
    <xf numFmtId="10" fontId="39" fillId="0" borderId="11" xfId="43" applyNumberFormat="1" applyFont="1" applyBorder="1" applyAlignment="1">
      <alignment horizontal="right" vertical="top"/>
    </xf>
    <xf numFmtId="4" fontId="39" fillId="0" borderId="11" xfId="43" applyNumberFormat="1" applyFont="1" applyBorder="1" applyAlignment="1">
      <alignment horizontal="right" vertical="top"/>
    </xf>
    <xf numFmtId="3" fontId="39" fillId="0" borderId="11" xfId="43" applyNumberFormat="1" applyFont="1" applyBorder="1" applyAlignment="1">
      <alignment horizontal="right" vertical="top"/>
    </xf>
    <xf numFmtId="0" fontId="35" fillId="31" borderId="11" xfId="43" applyFont="1" applyFill="1" applyBorder="1" applyAlignment="1">
      <alignment vertical="top" wrapText="1"/>
    </xf>
    <xf numFmtId="3" fontId="44" fillId="31" borderId="11" xfId="43" applyNumberFormat="1" applyFont="1" applyFill="1" applyBorder="1" applyAlignment="1">
      <alignment horizontal="right" vertical="top"/>
    </xf>
    <xf numFmtId="0" fontId="42" fillId="31" borderId="11" xfId="43" applyFont="1" applyFill="1" applyBorder="1" applyAlignment="1">
      <alignment vertical="top" wrapText="1"/>
    </xf>
    <xf numFmtId="0" fontId="35" fillId="0" borderId="0" xfId="43" applyFont="1"/>
    <xf numFmtId="3" fontId="37" fillId="0" borderId="0" xfId="43" applyNumberFormat="1" applyFont="1"/>
    <xf numFmtId="4" fontId="37" fillId="0" borderId="0" xfId="43" applyNumberFormat="1" applyFont="1"/>
    <xf numFmtId="3" fontId="35" fillId="0" borderId="0" xfId="43" applyNumberFormat="1" applyFont="1"/>
    <xf numFmtId="0" fontId="42" fillId="0" borderId="0" xfId="43" applyFont="1"/>
    <xf numFmtId="165" fontId="38" fillId="0" borderId="11" xfId="43" applyNumberFormat="1" applyFont="1" applyBorder="1" applyAlignment="1">
      <alignment horizontal="right" vertical="top"/>
    </xf>
    <xf numFmtId="165" fontId="39" fillId="0" borderId="11" xfId="43" applyNumberFormat="1" applyFont="1" applyBorder="1" applyAlignment="1">
      <alignment horizontal="right" vertical="top"/>
    </xf>
    <xf numFmtId="166" fontId="39" fillId="0" borderId="11" xfId="43" applyNumberFormat="1" applyFont="1" applyBorder="1"/>
    <xf numFmtId="4" fontId="37" fillId="0" borderId="11" xfId="43" applyNumberFormat="1" applyFont="1" applyBorder="1"/>
    <xf numFmtId="4" fontId="38" fillId="0" borderId="11" xfId="43" applyNumberFormat="1" applyFont="1" applyBorder="1"/>
    <xf numFmtId="166" fontId="38" fillId="0" borderId="11" xfId="43" applyNumberFormat="1" applyFont="1" applyBorder="1"/>
    <xf numFmtId="0" fontId="36" fillId="0" borderId="0" xfId="43" applyFont="1"/>
    <xf numFmtId="4" fontId="36" fillId="0" borderId="0" xfId="43" applyNumberFormat="1" applyFont="1"/>
    <xf numFmtId="167" fontId="35" fillId="0" borderId="0" xfId="43" applyNumberFormat="1" applyFont="1"/>
    <xf numFmtId="167" fontId="38" fillId="0" borderId="11" xfId="43" applyNumberFormat="1" applyFont="1" applyBorder="1" applyAlignment="1">
      <alignment horizontal="right" vertical="top"/>
    </xf>
    <xf numFmtId="167" fontId="44" fillId="31" borderId="11" xfId="43" applyNumberFormat="1" applyFont="1" applyFill="1" applyBorder="1" applyAlignment="1">
      <alignment horizontal="right" vertical="top"/>
    </xf>
    <xf numFmtId="167" fontId="39" fillId="0" borderId="11" xfId="43" applyNumberFormat="1" applyFont="1" applyBorder="1" applyAlignment="1">
      <alignment horizontal="right" vertical="top"/>
    </xf>
    <xf numFmtId="168" fontId="38" fillId="0" borderId="11" xfId="43" applyNumberFormat="1" applyFont="1" applyBorder="1" applyAlignment="1">
      <alignment horizontal="right" vertical="top"/>
    </xf>
    <xf numFmtId="166" fontId="38" fillId="0" borderId="11" xfId="43" applyNumberFormat="1" applyFont="1" applyBorder="1" applyAlignment="1">
      <alignment horizontal="right" vertical="top"/>
    </xf>
    <xf numFmtId="49" fontId="38" fillId="0" borderId="11" xfId="43" applyNumberFormat="1" applyFont="1" applyBorder="1"/>
    <xf numFmtId="3" fontId="37" fillId="0" borderId="11" xfId="43" applyNumberFormat="1" applyFont="1" applyBorder="1"/>
    <xf numFmtId="10" fontId="38" fillId="0" borderId="11" xfId="43" applyNumberFormat="1" applyFont="1" applyBorder="1"/>
    <xf numFmtId="49" fontId="37" fillId="0" borderId="11" xfId="43" applyNumberFormat="1" applyFont="1" applyBorder="1"/>
    <xf numFmtId="3" fontId="38" fillId="0" borderId="11" xfId="43" applyNumberFormat="1" applyFont="1" applyBorder="1"/>
    <xf numFmtId="167" fontId="38" fillId="0" borderId="11" xfId="43" applyNumberFormat="1" applyFont="1" applyBorder="1"/>
    <xf numFmtId="3" fontId="36" fillId="0" borderId="0" xfId="43" applyNumberFormat="1" applyFont="1"/>
    <xf numFmtId="10" fontId="36" fillId="0" borderId="0" xfId="43" applyNumberFormat="1" applyFont="1"/>
    <xf numFmtId="167" fontId="36" fillId="0" borderId="0" xfId="43" applyNumberFormat="1" applyFont="1"/>
    <xf numFmtId="49" fontId="38" fillId="0" borderId="11" xfId="43" applyNumberFormat="1" applyFont="1" applyBorder="1" applyAlignment="1">
      <alignment horizontal="right" vertical="top"/>
    </xf>
    <xf numFmtId="0" fontId="36" fillId="30" borderId="0" xfId="43" applyFont="1" applyFill="1" applyAlignment="1">
      <alignment horizontal="center"/>
    </xf>
    <xf numFmtId="0" fontId="36" fillId="30" borderId="0" xfId="43" applyFont="1" applyFill="1"/>
    <xf numFmtId="3" fontId="36" fillId="31" borderId="0" xfId="43" applyNumberFormat="1" applyFont="1" applyFill="1"/>
    <xf numFmtId="0" fontId="45" fillId="0" borderId="0" xfId="43" applyFont="1"/>
    <xf numFmtId="0" fontId="46" fillId="0" borderId="0" xfId="43" applyFont="1"/>
    <xf numFmtId="0" fontId="48" fillId="0" borderId="11" xfId="43" applyFont="1" applyBorder="1"/>
    <xf numFmtId="3" fontId="48" fillId="0" borderId="11" xfId="43" applyNumberFormat="1" applyFont="1" applyBorder="1"/>
    <xf numFmtId="3" fontId="47" fillId="0" borderId="11" xfId="43" applyNumberFormat="1" applyFont="1" applyBorder="1"/>
    <xf numFmtId="0" fontId="47" fillId="33" borderId="11" xfId="43" applyFont="1" applyFill="1" applyBorder="1" applyAlignment="1">
      <alignment vertical="center" wrapText="1"/>
    </xf>
    <xf numFmtId="0" fontId="45" fillId="26" borderId="0" xfId="43" applyFont="1" applyFill="1"/>
    <xf numFmtId="0" fontId="34" fillId="34" borderId="0" xfId="43" applyFont="1" applyFill="1"/>
    <xf numFmtId="0" fontId="32" fillId="34" borderId="0" xfId="43" applyFont="1" applyFill="1"/>
    <xf numFmtId="0" fontId="32" fillId="26" borderId="0" xfId="43" applyFont="1" applyFill="1"/>
    <xf numFmtId="0" fontId="49" fillId="0" borderId="0" xfId="43" applyFont="1"/>
    <xf numFmtId="0" fontId="50" fillId="0" borderId="0" xfId="43" applyFont="1"/>
    <xf numFmtId="0" fontId="51" fillId="0" borderId="0" xfId="43" applyFont="1"/>
    <xf numFmtId="0" fontId="52" fillId="0" borderId="0" xfId="43" applyFont="1"/>
    <xf numFmtId="0" fontId="29" fillId="27" borderId="0" xfId="0" applyFont="1" applyFill="1" applyAlignment="1">
      <alignment horizontal="left" vertical="center"/>
    </xf>
    <xf numFmtId="0" fontId="29" fillId="27" borderId="0" xfId="0" applyFont="1" applyFill="1" applyAlignment="1">
      <alignment horizontal="left" vertical="center" wrapText="1"/>
    </xf>
    <xf numFmtId="0" fontId="30" fillId="0" borderId="0" xfId="0" applyFont="1" applyAlignment="1">
      <alignment horizontal="left" vertical="center" wrapText="1"/>
    </xf>
    <xf numFmtId="0" fontId="35" fillId="0" borderId="0" xfId="43" applyFont="1" applyAlignment="1">
      <alignment vertical="top" wrapText="1"/>
    </xf>
    <xf numFmtId="0" fontId="38" fillId="0" borderId="0" xfId="43" applyFont="1"/>
    <xf numFmtId="0" fontId="39" fillId="0" borderId="0" xfId="43" applyFont="1"/>
    <xf numFmtId="0" fontId="38" fillId="31" borderId="0" xfId="43" applyFont="1" applyFill="1"/>
    <xf numFmtId="0" fontId="35" fillId="0" borderId="0" xfId="43" applyFont="1" applyAlignment="1">
      <alignment wrapText="1"/>
    </xf>
    <xf numFmtId="0" fontId="37" fillId="0" borderId="0" xfId="43" applyFont="1"/>
    <xf numFmtId="0" fontId="42" fillId="31" borderId="11" xfId="43" applyFont="1" applyFill="1" applyBorder="1" applyAlignment="1">
      <alignment vertical="top" wrapText="1"/>
    </xf>
    <xf numFmtId="0" fontId="42" fillId="0" borderId="11" xfId="43" applyFont="1" applyBorder="1" applyAlignment="1">
      <alignment vertical="top" wrapText="1"/>
    </xf>
    <xf numFmtId="0" fontId="36" fillId="30" borderId="11" xfId="43" applyFont="1" applyFill="1" applyBorder="1" applyAlignment="1">
      <alignment vertical="center" wrapText="1"/>
    </xf>
    <xf numFmtId="0" fontId="36" fillId="32" borderId="11" xfId="43" applyFont="1" applyFill="1" applyBorder="1" applyAlignment="1">
      <alignment vertical="center" wrapText="1"/>
    </xf>
    <xf numFmtId="0" fontId="48" fillId="0" borderId="0" xfId="43" applyFont="1" applyAlignment="1">
      <alignment vertical="top" wrapText="1"/>
    </xf>
  </cellXfs>
  <cellStyles count="44">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Followed Hyperlink" xfId="42" builtinId="9" hidden="1"/>
    <cellStyle name="Good" xfId="29" xr:uid="{00000000-0005-0000-0000-00001D000000}"/>
    <cellStyle name="Heading 1" xfId="30" xr:uid="{00000000-0005-0000-0000-00001E000000}"/>
    <cellStyle name="Heading 2" xfId="31" xr:uid="{00000000-0005-0000-0000-00001F000000}"/>
    <cellStyle name="Heading 3" xfId="32" xr:uid="{00000000-0005-0000-0000-000020000000}"/>
    <cellStyle name="Heading 4" xfId="33" xr:uid="{00000000-0005-0000-0000-000021000000}"/>
    <cellStyle name="Input" xfId="34" xr:uid="{00000000-0005-0000-0000-000023000000}"/>
    <cellStyle name="Linked Cell" xfId="35" xr:uid="{00000000-0005-0000-0000-000024000000}"/>
    <cellStyle name="Neutral" xfId="36" xr:uid="{00000000-0005-0000-0000-000025000000}"/>
    <cellStyle name="Normal" xfId="0" builtinId="0"/>
    <cellStyle name="Normal 2" xfId="43" xr:uid="{F6124D88-C683-4AA7-8702-CD6380B9B481}"/>
    <cellStyle name="Note" xfId="37" xr:uid="{00000000-0005-0000-0000-000027000000}"/>
    <cellStyle name="Output" xfId="38" xr:uid="{00000000-0005-0000-0000-000028000000}"/>
    <cellStyle name="Title" xfId="39" xr:uid="{00000000-0005-0000-0000-000029000000}"/>
    <cellStyle name="Total" xfId="40" xr:uid="{00000000-0005-0000-0000-00002A000000}"/>
    <cellStyle name="Warning Text" xfId="41" xr:uid="{00000000-0005-0000-0000-00002B00000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99"/>
      <color rgb="FFFFCCCC"/>
      <color rgb="FF00CDD2"/>
      <color rgb="FF00E8EE"/>
      <color rgb="FFFFCF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101600</xdr:rowOff>
    </xdr:from>
    <xdr:to>
      <xdr:col>2</xdr:col>
      <xdr:colOff>685640</xdr:colOff>
      <xdr:row>2</xdr:row>
      <xdr:rowOff>314978</xdr:rowOff>
    </xdr:to>
    <xdr:pic>
      <xdr:nvPicPr>
        <xdr:cNvPr id="2" name="Picture 1">
          <a:extLst>
            <a:ext uri="{FF2B5EF4-FFF2-40B4-BE49-F238E27FC236}">
              <a16:creationId xmlns:a16="http://schemas.microsoft.com/office/drawing/2014/main" id="{4D344C37-583E-4678-9244-53DEA5F14B9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393" t="24794" r="8745" b="17354"/>
        <a:stretch/>
      </xdr:blipFill>
      <xdr:spPr>
        <a:xfrm>
          <a:off x="200025" y="101600"/>
          <a:ext cx="2141695" cy="599458"/>
        </a:xfrm>
        <a:prstGeom prst="rect">
          <a:avLst/>
        </a:prstGeom>
      </xdr:spPr>
    </xdr:pic>
    <xdr:clientData/>
  </xdr:twoCellAnchor>
</xdr:wsDr>
</file>

<file path=xl/theme/theme1.xml><?xml version="1.0" encoding="utf-8"?>
<a:theme xmlns:a="http://schemas.openxmlformats.org/drawingml/2006/main" name="GoldStandard">
  <a:themeElements>
    <a:clrScheme name="GoldStandard Colour Palette">
      <a:dk1>
        <a:srgbClr val="515151"/>
      </a:dk1>
      <a:lt1>
        <a:srgbClr val="FFFFFF"/>
      </a:lt1>
      <a:dk2>
        <a:srgbClr val="323232"/>
      </a:dk2>
      <a:lt2>
        <a:srgbClr val="E6E5E5"/>
      </a:lt2>
      <a:accent1>
        <a:srgbClr val="00B9BD"/>
      </a:accent1>
      <a:accent2>
        <a:srgbClr val="109B9D"/>
      </a:accent2>
      <a:accent3>
        <a:srgbClr val="097E80"/>
      </a:accent3>
      <a:accent4>
        <a:srgbClr val="D6DF40"/>
      </a:accent4>
      <a:accent5>
        <a:srgbClr val="C1CC3A"/>
      </a:accent5>
      <a:accent6>
        <a:srgbClr val="AFB936"/>
      </a:accent6>
      <a:hlink>
        <a:srgbClr val="00B9BD"/>
      </a:hlink>
      <a:folHlink>
        <a:srgbClr val="D3D4D6"/>
      </a:folHlink>
    </a:clrScheme>
    <a:fontScheme name="Test">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txDef>
      <a:spPr/>
      <a:bodyPr anchor="t"/>
      <a:lstStyle>
        <a:defPPr>
          <a:defRPr smtClean="0"/>
        </a:defPPr>
      </a:lstStyle>
    </a:txDef>
  </a:objectDefaults>
  <a:extraClrSchemeLst/>
  <a:extLst>
    <a:ext uri="{05A4C25C-085E-4340-85A3-A5531E510DB2}">
      <thm15:themeFamily xmlns:thm15="http://schemas.microsoft.com/office/thememl/2012/main" name="GoldStandard-theme" id="{2EC3FD0D-E269-4A4F-B2C9-6AC141EAB1A5}" vid="{86384915-11BA-5A4A-B8D7-A8323FEA86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C20B3-B7A2-4274-9440-9836C85FCBD5}">
  <sheetPr>
    <pageSetUpPr fitToPage="1"/>
  </sheetPr>
  <dimension ref="B3:J13"/>
  <sheetViews>
    <sheetView showGridLines="0" tabSelected="1" zoomScale="125" zoomScaleNormal="81" workbookViewId="0">
      <selection activeCell="F18" sqref="F18"/>
    </sheetView>
  </sheetViews>
  <sheetFormatPr baseColWidth="10" defaultColWidth="8.5" defaultRowHeight="15" customHeight="1" x14ac:dyDescent="0.2"/>
  <cols>
    <col min="1" max="1" width="3.1640625" style="4" customWidth="1"/>
    <col min="2" max="2" width="18.5" style="2" customWidth="1"/>
    <col min="3" max="3" width="31.5" style="3" customWidth="1"/>
    <col min="4" max="4" width="37" style="15" customWidth="1"/>
    <col min="5" max="5" width="14.33203125" style="3" bestFit="1" customWidth="1"/>
    <col min="6" max="6" width="13.83203125" style="3" bestFit="1" customWidth="1"/>
    <col min="7" max="7" width="13.83203125" style="3" customWidth="1"/>
    <col min="8" max="8" width="55.1640625" style="3" customWidth="1"/>
    <col min="9" max="10" width="20.5" style="1" customWidth="1"/>
    <col min="11" max="16384" width="8.5" style="4"/>
  </cols>
  <sheetData>
    <row r="3" spans="2:10" ht="33.75" customHeight="1" x14ac:dyDescent="0.2">
      <c r="D3" s="7"/>
      <c r="H3" s="12"/>
    </row>
    <row r="4" spans="2:10" ht="61" customHeight="1" x14ac:dyDescent="0.2">
      <c r="B4" s="14" t="s">
        <v>2</v>
      </c>
      <c r="D4" s="7"/>
    </row>
    <row r="5" spans="2:10" s="5" customFormat="1" ht="26.25" customHeight="1" x14ac:dyDescent="0.2">
      <c r="B5" s="5" t="s">
        <v>0</v>
      </c>
      <c r="C5" s="16">
        <v>46309</v>
      </c>
      <c r="D5" s="7"/>
      <c r="E5" s="6"/>
      <c r="F5" s="6"/>
      <c r="G5" s="6"/>
      <c r="H5" s="7"/>
      <c r="I5" s="7"/>
      <c r="J5" s="7"/>
    </row>
    <row r="6" spans="2:10" s="5" customFormat="1" ht="16" x14ac:dyDescent="0.2">
      <c r="B6" s="5" t="s">
        <v>1</v>
      </c>
      <c r="C6" s="18">
        <v>1</v>
      </c>
      <c r="D6" s="7"/>
      <c r="E6" s="8"/>
      <c r="F6" s="8"/>
      <c r="G6" s="8"/>
      <c r="H6" s="7"/>
      <c r="I6" s="7"/>
      <c r="J6" s="7"/>
    </row>
    <row r="7" spans="2:10" ht="15" customHeight="1" x14ac:dyDescent="0.2">
      <c r="C7" s="17"/>
      <c r="D7" s="7"/>
    </row>
    <row r="8" spans="2:10" s="5" customFormat="1" ht="58.5" customHeight="1" x14ac:dyDescent="0.2">
      <c r="B8" s="9" t="s">
        <v>3</v>
      </c>
      <c r="C8" s="10"/>
      <c r="D8" s="10"/>
      <c r="E8" s="10"/>
      <c r="F8" s="10"/>
      <c r="G8" s="10"/>
      <c r="H8" s="10"/>
      <c r="I8" s="10"/>
      <c r="J8" s="10"/>
    </row>
    <row r="9" spans="2:10" s="13" customFormat="1" ht="20.25" customHeight="1" x14ac:dyDescent="0.2">
      <c r="B9" s="93" t="s">
        <v>4</v>
      </c>
      <c r="C9" s="94"/>
      <c r="D9" s="94"/>
      <c r="E9" s="94"/>
      <c r="F9" s="94"/>
      <c r="G9" s="94"/>
      <c r="H9" s="94"/>
      <c r="I9" s="94"/>
      <c r="J9" s="94"/>
    </row>
    <row r="10" spans="2:10" ht="16" x14ac:dyDescent="0.2">
      <c r="B10" s="11"/>
      <c r="D10" s="7"/>
    </row>
    <row r="11" spans="2:10" ht="15" customHeight="1" x14ac:dyDescent="0.2">
      <c r="B11" s="95" t="s">
        <v>572</v>
      </c>
      <c r="C11" s="95"/>
      <c r="D11" s="95"/>
      <c r="E11" s="95"/>
      <c r="F11" s="95"/>
      <c r="G11" s="95"/>
      <c r="H11" s="95"/>
      <c r="I11" s="95"/>
      <c r="J11" s="95"/>
    </row>
    <row r="12" spans="2:10" ht="15" customHeight="1" x14ac:dyDescent="0.2">
      <c r="B12" s="95"/>
      <c r="C12" s="95"/>
      <c r="D12" s="95"/>
      <c r="E12" s="95"/>
      <c r="F12" s="95"/>
      <c r="G12" s="95"/>
      <c r="H12" s="95"/>
      <c r="I12" s="95"/>
      <c r="J12" s="95"/>
    </row>
    <row r="13" spans="2:10" ht="15" customHeight="1" x14ac:dyDescent="0.2">
      <c r="B13" s="95"/>
      <c r="C13" s="95"/>
      <c r="D13" s="95"/>
      <c r="E13" s="95"/>
      <c r="F13" s="95"/>
      <c r="G13" s="95"/>
      <c r="H13" s="95"/>
      <c r="I13" s="95"/>
      <c r="J13" s="95"/>
    </row>
  </sheetData>
  <mergeCells count="2">
    <mergeCell ref="B9:J9"/>
    <mergeCell ref="B11:J13"/>
  </mergeCells>
  <phoneticPr fontId="24" type="noConversion"/>
  <conditionalFormatting sqref="D5:D8">
    <cfRule type="duplicateValues" dxfId="11" priority="201"/>
    <cfRule type="duplicateValues" dxfId="10" priority="202"/>
    <cfRule type="duplicateValues" dxfId="9" priority="203"/>
    <cfRule type="duplicateValues" dxfId="8" priority="204"/>
  </conditionalFormatting>
  <conditionalFormatting sqref="D9">
    <cfRule type="duplicateValues" dxfId="7" priority="3"/>
    <cfRule type="duplicateValues" dxfId="6" priority="4"/>
    <cfRule type="duplicateValues" dxfId="5" priority="5"/>
    <cfRule type="duplicateValues" dxfId="4" priority="6"/>
  </conditionalFormatting>
  <conditionalFormatting sqref="D10 D1:D2 D4 B4 D14:D1048576">
    <cfRule type="duplicateValues" dxfId="3" priority="50"/>
    <cfRule type="duplicateValues" dxfId="2" priority="51"/>
  </conditionalFormatting>
  <conditionalFormatting sqref="D11:D13">
    <cfRule type="duplicateValues" dxfId="1" priority="1"/>
    <cfRule type="duplicateValues" dxfId="0" priority="2"/>
  </conditionalFormatting>
  <pageMargins left="0.7" right="0.7" top="0.75" bottom="0.75" header="0.3" footer="0.3"/>
  <pageSetup paperSize="9" scale="54" orientation="landscape"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AA7F3-132E-4CA3-BB33-51AD3C3B27A4}">
  <sheetPr>
    <tabColor rgb="FF00B9BD"/>
    <pageSetUpPr fitToPage="1"/>
  </sheetPr>
  <dimension ref="A1:E35"/>
  <sheetViews>
    <sheetView showGridLines="0" zoomScaleNormal="100" workbookViewId="0">
      <selection sqref="A1:XFD1"/>
    </sheetView>
  </sheetViews>
  <sheetFormatPr baseColWidth="10" defaultColWidth="8.6640625" defaultRowHeight="16" x14ac:dyDescent="0.2"/>
  <cols>
    <col min="1" max="1" width="26" style="19" customWidth="1"/>
    <col min="2" max="4" width="20" style="19" customWidth="1"/>
    <col min="5" max="5" width="90" style="19" customWidth="1"/>
    <col min="6" max="16384" width="8.6640625" style="19"/>
  </cols>
  <sheetData>
    <row r="1" spans="1:5" s="28" customFormat="1" ht="30" x14ac:dyDescent="0.3">
      <c r="A1" s="27" t="s">
        <v>5</v>
      </c>
    </row>
    <row r="2" spans="1:5" x14ac:dyDescent="0.2">
      <c r="A2" s="20" t="s">
        <v>6</v>
      </c>
    </row>
    <row r="4" spans="1:5" s="23" customFormat="1" x14ac:dyDescent="0.2">
      <c r="A4" s="21" t="s">
        <v>7</v>
      </c>
      <c r="B4" s="22"/>
      <c r="C4" s="22"/>
      <c r="D4" s="22"/>
      <c r="E4" s="22"/>
    </row>
    <row r="5" spans="1:5" ht="54" customHeight="1" x14ac:dyDescent="0.2">
      <c r="A5" s="96" t="s">
        <v>8</v>
      </c>
      <c r="B5" s="96"/>
      <c r="C5" s="96"/>
      <c r="D5" s="96"/>
      <c r="E5" s="96"/>
    </row>
    <row r="6" spans="1:5" s="23" customFormat="1" ht="29.5" customHeight="1" x14ac:dyDescent="0.2">
      <c r="A6" s="21" t="s">
        <v>9</v>
      </c>
      <c r="B6" s="22"/>
      <c r="C6" s="22"/>
      <c r="D6" s="22"/>
      <c r="E6" s="22"/>
    </row>
    <row r="7" spans="1:5" ht="53" customHeight="1" x14ac:dyDescent="0.2">
      <c r="A7" s="96" t="s">
        <v>10</v>
      </c>
      <c r="B7" s="96"/>
      <c r="C7" s="96"/>
      <c r="D7" s="96"/>
      <c r="E7" s="96"/>
    </row>
    <row r="8" spans="1:5" s="23" customFormat="1" x14ac:dyDescent="0.2">
      <c r="A8" s="21" t="s">
        <v>11</v>
      </c>
      <c r="B8" s="22"/>
      <c r="C8" s="22"/>
      <c r="D8" s="22"/>
      <c r="E8" s="22"/>
    </row>
    <row r="9" spans="1:5" ht="17" x14ac:dyDescent="0.2">
      <c r="A9" s="24" t="s">
        <v>12</v>
      </c>
      <c r="B9" s="24" t="s">
        <v>13</v>
      </c>
      <c r="C9" s="24"/>
      <c r="D9" s="24"/>
      <c r="E9" s="24"/>
    </row>
    <row r="10" spans="1:5" ht="27" customHeight="1" x14ac:dyDescent="0.2">
      <c r="A10" s="25" t="s">
        <v>14</v>
      </c>
      <c r="B10" s="100" t="s">
        <v>15</v>
      </c>
      <c r="C10" s="100"/>
      <c r="D10" s="100"/>
      <c r="E10" s="100"/>
    </row>
    <row r="11" spans="1:5" ht="27" customHeight="1" x14ac:dyDescent="0.2">
      <c r="A11" s="25" t="s">
        <v>16</v>
      </c>
      <c r="B11" s="100" t="s">
        <v>17</v>
      </c>
      <c r="C11" s="100"/>
      <c r="D11" s="100"/>
      <c r="E11" s="100"/>
    </row>
    <row r="12" spans="1:5" ht="27" customHeight="1" x14ac:dyDescent="0.2">
      <c r="A12" s="25" t="s">
        <v>18</v>
      </c>
      <c r="B12" s="100" t="s">
        <v>19</v>
      </c>
      <c r="C12" s="100"/>
      <c r="D12" s="100"/>
      <c r="E12" s="100"/>
    </row>
    <row r="13" spans="1:5" ht="27" customHeight="1" x14ac:dyDescent="0.2">
      <c r="A13" s="25" t="s">
        <v>20</v>
      </c>
      <c r="B13" s="100" t="s">
        <v>21</v>
      </c>
      <c r="C13" s="100"/>
      <c r="D13" s="100"/>
      <c r="E13" s="100"/>
    </row>
    <row r="14" spans="1:5" ht="27" customHeight="1" x14ac:dyDescent="0.2">
      <c r="A14" s="25" t="s">
        <v>22</v>
      </c>
      <c r="B14" s="100" t="s">
        <v>23</v>
      </c>
      <c r="C14" s="100"/>
      <c r="D14" s="100"/>
      <c r="E14" s="100"/>
    </row>
    <row r="15" spans="1:5" ht="27" customHeight="1" x14ac:dyDescent="0.2">
      <c r="A15" s="25" t="s">
        <v>24</v>
      </c>
      <c r="B15" s="100" t="s">
        <v>25</v>
      </c>
      <c r="C15" s="100"/>
      <c r="D15" s="100"/>
      <c r="E15" s="100"/>
    </row>
    <row r="16" spans="1:5" ht="27" customHeight="1" x14ac:dyDescent="0.2">
      <c r="A16" s="25" t="s">
        <v>26</v>
      </c>
      <c r="B16" s="100" t="s">
        <v>27</v>
      </c>
      <c r="C16" s="100"/>
      <c r="D16" s="100"/>
      <c r="E16" s="100"/>
    </row>
    <row r="17" spans="1:5" ht="27" customHeight="1" x14ac:dyDescent="0.2">
      <c r="A17" s="25" t="s">
        <v>28</v>
      </c>
      <c r="B17" s="100" t="s">
        <v>29</v>
      </c>
      <c r="C17" s="100"/>
      <c r="D17" s="100"/>
      <c r="E17" s="100"/>
    </row>
    <row r="18" spans="1:5" ht="27" customHeight="1" x14ac:dyDescent="0.2">
      <c r="A18" s="25" t="s">
        <v>30</v>
      </c>
      <c r="B18" s="100" t="s">
        <v>31</v>
      </c>
      <c r="C18" s="100"/>
      <c r="D18" s="100"/>
      <c r="E18" s="100"/>
    </row>
    <row r="20" spans="1:5" s="23" customFormat="1" x14ac:dyDescent="0.2">
      <c r="A20" s="21" t="s">
        <v>32</v>
      </c>
      <c r="B20" s="22"/>
      <c r="C20" s="22"/>
      <c r="D20" s="22"/>
      <c r="E20" s="22"/>
    </row>
    <row r="21" spans="1:5" x14ac:dyDescent="0.2">
      <c r="A21" s="101" t="s">
        <v>33</v>
      </c>
      <c r="B21" s="101"/>
      <c r="C21" s="101"/>
      <c r="D21" s="101"/>
      <c r="E21" s="101"/>
    </row>
    <row r="22" spans="1:5" x14ac:dyDescent="0.2">
      <c r="A22" s="97" t="s">
        <v>34</v>
      </c>
      <c r="B22" s="97"/>
      <c r="C22" s="97"/>
      <c r="D22" s="97"/>
      <c r="E22" s="97"/>
    </row>
    <row r="23" spans="1:5" x14ac:dyDescent="0.2">
      <c r="A23" s="98" t="s">
        <v>35</v>
      </c>
      <c r="B23" s="98"/>
      <c r="C23" s="98"/>
      <c r="D23" s="98"/>
      <c r="E23" s="98"/>
    </row>
    <row r="24" spans="1:5" x14ac:dyDescent="0.2">
      <c r="A24" s="99" t="s">
        <v>36</v>
      </c>
      <c r="B24" s="99"/>
      <c r="C24" s="99"/>
      <c r="D24" s="99"/>
      <c r="E24" s="99"/>
    </row>
    <row r="26" spans="1:5" s="23" customFormat="1" x14ac:dyDescent="0.2">
      <c r="A26" s="21" t="s">
        <v>37</v>
      </c>
      <c r="B26" s="22"/>
      <c r="C26" s="22"/>
      <c r="D26" s="22"/>
      <c r="E26" s="22"/>
    </row>
    <row r="27" spans="1:5" ht="27" customHeight="1" x14ac:dyDescent="0.2">
      <c r="A27" s="96" t="s">
        <v>38</v>
      </c>
      <c r="B27" s="96"/>
      <c r="C27" s="96"/>
      <c r="D27" s="96"/>
      <c r="E27" s="96"/>
    </row>
    <row r="28" spans="1:5" ht="27" customHeight="1" x14ac:dyDescent="0.2">
      <c r="A28" s="96" t="s">
        <v>39</v>
      </c>
      <c r="B28" s="96"/>
      <c r="C28" s="96"/>
      <c r="D28" s="96"/>
      <c r="E28" s="96"/>
    </row>
    <row r="29" spans="1:5" ht="40.5" customHeight="1" x14ac:dyDescent="0.2">
      <c r="A29" s="96" t="s">
        <v>40</v>
      </c>
      <c r="B29" s="96"/>
      <c r="C29" s="96"/>
      <c r="D29" s="96"/>
      <c r="E29" s="96"/>
    </row>
    <row r="30" spans="1:5" ht="27" customHeight="1" x14ac:dyDescent="0.2">
      <c r="A30" s="96" t="s">
        <v>41</v>
      </c>
      <c r="B30" s="96"/>
      <c r="C30" s="96"/>
      <c r="D30" s="96"/>
      <c r="E30" s="96"/>
    </row>
    <row r="31" spans="1:5" ht="27" customHeight="1" x14ac:dyDescent="0.2">
      <c r="A31" s="96" t="s">
        <v>42</v>
      </c>
      <c r="B31" s="96"/>
      <c r="C31" s="96"/>
      <c r="D31" s="96"/>
      <c r="E31" s="96"/>
    </row>
    <row r="32" spans="1:5" ht="13.5" customHeight="1" x14ac:dyDescent="0.2">
      <c r="A32" s="96" t="s">
        <v>43</v>
      </c>
      <c r="B32" s="96"/>
      <c r="C32" s="96"/>
      <c r="D32" s="96"/>
      <c r="E32" s="96"/>
    </row>
    <row r="34" spans="1:5" s="23" customFormat="1" x14ac:dyDescent="0.2">
      <c r="A34" s="21" t="s">
        <v>1</v>
      </c>
      <c r="B34" s="22"/>
      <c r="C34" s="22"/>
      <c r="D34" s="22"/>
      <c r="E34" s="22"/>
    </row>
    <row r="35" spans="1:5" ht="13.5" customHeight="1" x14ac:dyDescent="0.2">
      <c r="A35" s="96" t="s">
        <v>44</v>
      </c>
      <c r="B35" s="96"/>
      <c r="C35" s="96"/>
      <c r="D35" s="96"/>
      <c r="E35" s="96"/>
    </row>
  </sheetData>
  <mergeCells count="22">
    <mergeCell ref="A21:E21"/>
    <mergeCell ref="A5:E5"/>
    <mergeCell ref="A7:E7"/>
    <mergeCell ref="B10:E10"/>
    <mergeCell ref="B11:E11"/>
    <mergeCell ref="B12:E12"/>
    <mergeCell ref="B13:E13"/>
    <mergeCell ref="B14:E14"/>
    <mergeCell ref="B15:E15"/>
    <mergeCell ref="B16:E16"/>
    <mergeCell ref="B17:E17"/>
    <mergeCell ref="B18:E18"/>
    <mergeCell ref="A30:E30"/>
    <mergeCell ref="A31:E31"/>
    <mergeCell ref="A32:E32"/>
    <mergeCell ref="A35:E35"/>
    <mergeCell ref="A22:E22"/>
    <mergeCell ref="A23:E23"/>
    <mergeCell ref="A24:E24"/>
    <mergeCell ref="A27:E27"/>
    <mergeCell ref="A28:E28"/>
    <mergeCell ref="A29:E29"/>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77CC0-A1DA-4237-8BC2-0D92699AD926}">
  <sheetPr>
    <pageSetUpPr fitToPage="1"/>
  </sheetPr>
  <dimension ref="A1:E25"/>
  <sheetViews>
    <sheetView showGridLines="0" topLeftCell="A10" zoomScaleNormal="100" workbookViewId="0">
      <selection activeCell="B9" sqref="B9"/>
    </sheetView>
  </sheetViews>
  <sheetFormatPr baseColWidth="10" defaultColWidth="8.6640625" defaultRowHeight="16" x14ac:dyDescent="0.2"/>
  <cols>
    <col min="1" max="1" width="46" style="19" customWidth="1"/>
    <col min="2" max="2" width="24" style="19" customWidth="1"/>
    <col min="3" max="3" width="16" style="19" customWidth="1"/>
    <col min="4" max="4" width="18" style="19" customWidth="1"/>
    <col min="5" max="5" width="74" style="19" customWidth="1"/>
    <col min="6" max="16384" width="8.6640625" style="19"/>
  </cols>
  <sheetData>
    <row r="1" spans="1:5" s="37" customFormat="1" ht="30" x14ac:dyDescent="0.3">
      <c r="A1" s="27" t="s">
        <v>45</v>
      </c>
    </row>
    <row r="2" spans="1:5" x14ac:dyDescent="0.2">
      <c r="A2" s="20" t="s">
        <v>46</v>
      </c>
    </row>
    <row r="4" spans="1:5" s="23" customFormat="1" ht="17" x14ac:dyDescent="0.2">
      <c r="A4" s="29" t="s">
        <v>47</v>
      </c>
      <c r="B4" s="29" t="s">
        <v>48</v>
      </c>
      <c r="C4" s="29" t="s">
        <v>49</v>
      </c>
      <c r="D4" s="29" t="s">
        <v>50</v>
      </c>
      <c r="E4" s="29" t="s">
        <v>51</v>
      </c>
    </row>
    <row r="5" spans="1:5" ht="13.5" customHeight="1" x14ac:dyDescent="0.2">
      <c r="A5" s="30" t="s">
        <v>52</v>
      </c>
      <c r="B5" s="30" t="s">
        <v>53</v>
      </c>
      <c r="C5" s="31">
        <v>15</v>
      </c>
      <c r="D5" s="30" t="s">
        <v>54</v>
      </c>
      <c r="E5" s="32" t="s">
        <v>55</v>
      </c>
    </row>
    <row r="6" spans="1:5" ht="13.5" customHeight="1" x14ac:dyDescent="0.2">
      <c r="A6" s="30" t="s">
        <v>56</v>
      </c>
      <c r="B6" s="30" t="s">
        <v>57</v>
      </c>
      <c r="C6" s="33">
        <v>1</v>
      </c>
      <c r="D6" s="30" t="s">
        <v>58</v>
      </c>
      <c r="E6" s="32" t="s">
        <v>59</v>
      </c>
    </row>
    <row r="7" spans="1:5" ht="27" customHeight="1" x14ac:dyDescent="0.2">
      <c r="A7" s="30" t="s">
        <v>60</v>
      </c>
      <c r="B7" s="30" t="s">
        <v>61</v>
      </c>
      <c r="C7" s="31">
        <v>1000</v>
      </c>
      <c r="D7" s="30" t="s">
        <v>62</v>
      </c>
      <c r="E7" s="32" t="s">
        <v>63</v>
      </c>
    </row>
    <row r="8" spans="1:5" ht="27" customHeight="1" x14ac:dyDescent="0.2">
      <c r="A8" s="30" t="s">
        <v>64</v>
      </c>
      <c r="B8" s="30" t="s">
        <v>61</v>
      </c>
      <c r="C8" s="31">
        <v>1190</v>
      </c>
      <c r="D8" s="30" t="s">
        <v>65</v>
      </c>
      <c r="E8" s="32" t="s">
        <v>63</v>
      </c>
    </row>
    <row r="9" spans="1:5" ht="27" customHeight="1" x14ac:dyDescent="0.2">
      <c r="A9" s="30" t="s">
        <v>66</v>
      </c>
      <c r="B9" s="30" t="s">
        <v>67</v>
      </c>
      <c r="C9" s="31">
        <v>99</v>
      </c>
      <c r="D9" s="30" t="s">
        <v>68</v>
      </c>
      <c r="E9" s="32" t="s">
        <v>69</v>
      </c>
    </row>
    <row r="10" spans="1:5" ht="27" customHeight="1" x14ac:dyDescent="0.2">
      <c r="A10" s="30" t="s">
        <v>70</v>
      </c>
      <c r="B10" s="30" t="s">
        <v>71</v>
      </c>
      <c r="C10" s="31">
        <v>69</v>
      </c>
      <c r="D10" s="30" t="s">
        <v>68</v>
      </c>
      <c r="E10" s="32" t="s">
        <v>72</v>
      </c>
    </row>
    <row r="11" spans="1:5" ht="27" customHeight="1" x14ac:dyDescent="0.2">
      <c r="A11" s="30" t="s">
        <v>73</v>
      </c>
      <c r="B11" s="30" t="s">
        <v>74</v>
      </c>
      <c r="C11" s="34">
        <v>5.0000000000000001E-3</v>
      </c>
      <c r="D11" s="30" t="s">
        <v>75</v>
      </c>
      <c r="E11" s="32" t="s">
        <v>76</v>
      </c>
    </row>
    <row r="12" spans="1:5" ht="13.5" customHeight="1" x14ac:dyDescent="0.2">
      <c r="A12" s="30" t="s">
        <v>77</v>
      </c>
      <c r="B12" s="30" t="s">
        <v>78</v>
      </c>
      <c r="C12" s="34">
        <v>0.06</v>
      </c>
      <c r="D12" s="30" t="s">
        <v>58</v>
      </c>
      <c r="E12" s="32" t="s">
        <v>79</v>
      </c>
    </row>
    <row r="13" spans="1:5" ht="13.5" customHeight="1" x14ac:dyDescent="0.2">
      <c r="A13" s="30" t="s">
        <v>80</v>
      </c>
      <c r="B13" s="30" t="s">
        <v>81</v>
      </c>
      <c r="C13" s="31">
        <v>30</v>
      </c>
      <c r="D13" s="30" t="s">
        <v>54</v>
      </c>
      <c r="E13" s="32" t="s">
        <v>82</v>
      </c>
    </row>
    <row r="14" spans="1:5" ht="27" customHeight="1" x14ac:dyDescent="0.2">
      <c r="A14" s="30" t="s">
        <v>83</v>
      </c>
      <c r="B14" s="30" t="s">
        <v>81</v>
      </c>
      <c r="C14" s="31">
        <v>25</v>
      </c>
      <c r="D14" s="30" t="s">
        <v>54</v>
      </c>
      <c r="E14" s="32" t="s">
        <v>84</v>
      </c>
    </row>
    <row r="15" spans="1:5" ht="27" customHeight="1" x14ac:dyDescent="0.2">
      <c r="A15" s="30" t="s">
        <v>85</v>
      </c>
      <c r="B15" s="30" t="s">
        <v>81</v>
      </c>
      <c r="C15" s="31">
        <v>15</v>
      </c>
      <c r="D15" s="30" t="s">
        <v>54</v>
      </c>
      <c r="E15" s="32" t="s">
        <v>86</v>
      </c>
    </row>
    <row r="16" spans="1:5" ht="27" customHeight="1" x14ac:dyDescent="0.2">
      <c r="A16" s="30" t="s">
        <v>87</v>
      </c>
      <c r="B16" s="30" t="s">
        <v>88</v>
      </c>
      <c r="C16" s="35">
        <v>0.54</v>
      </c>
      <c r="D16" s="30" t="s">
        <v>89</v>
      </c>
      <c r="E16" s="32" t="s">
        <v>90</v>
      </c>
    </row>
    <row r="17" spans="1:5" ht="13.5" customHeight="1" x14ac:dyDescent="0.2">
      <c r="A17" s="30" t="s">
        <v>91</v>
      </c>
      <c r="B17" s="30" t="s">
        <v>92</v>
      </c>
      <c r="C17" s="36">
        <v>43</v>
      </c>
      <c r="D17" s="30" t="s">
        <v>93</v>
      </c>
      <c r="E17" s="32" t="s">
        <v>94</v>
      </c>
    </row>
    <row r="18" spans="1:5" ht="13.5" customHeight="1" x14ac:dyDescent="0.2">
      <c r="A18" s="30" t="s">
        <v>95</v>
      </c>
      <c r="B18" s="30" t="s">
        <v>96</v>
      </c>
      <c r="C18" s="36">
        <v>74.099999999999994</v>
      </c>
      <c r="D18" s="30" t="s">
        <v>97</v>
      </c>
      <c r="E18" s="32" t="s">
        <v>94</v>
      </c>
    </row>
    <row r="19" spans="1:5" ht="13.5" customHeight="1" x14ac:dyDescent="0.2">
      <c r="A19" s="30" t="s">
        <v>98</v>
      </c>
      <c r="B19" s="30" t="s">
        <v>99</v>
      </c>
      <c r="C19" s="35">
        <v>1.002</v>
      </c>
      <c r="D19" s="30" t="s">
        <v>100</v>
      </c>
      <c r="E19" s="32" t="s">
        <v>101</v>
      </c>
    </row>
    <row r="20" spans="1:5" ht="13.5" customHeight="1" x14ac:dyDescent="0.2">
      <c r="A20" s="30" t="s">
        <v>102</v>
      </c>
      <c r="B20" s="30" t="s">
        <v>103</v>
      </c>
      <c r="C20" s="34">
        <v>0.05</v>
      </c>
      <c r="D20" s="30" t="s">
        <v>58</v>
      </c>
      <c r="E20" s="32" t="s">
        <v>104</v>
      </c>
    </row>
    <row r="21" spans="1:5" ht="13.5" customHeight="1" x14ac:dyDescent="0.2">
      <c r="A21" s="30" t="s">
        <v>105</v>
      </c>
      <c r="B21" s="30" t="s">
        <v>106</v>
      </c>
      <c r="C21" s="31">
        <v>100</v>
      </c>
      <c r="D21" s="30" t="s">
        <v>107</v>
      </c>
      <c r="E21" s="32" t="s">
        <v>108</v>
      </c>
    </row>
    <row r="22" spans="1:5" ht="13.5" customHeight="1" x14ac:dyDescent="0.2">
      <c r="A22" s="30" t="s">
        <v>109</v>
      </c>
      <c r="B22" s="30" t="s">
        <v>110</v>
      </c>
      <c r="C22" s="36">
        <v>3.6</v>
      </c>
      <c r="D22" s="30" t="s">
        <v>111</v>
      </c>
      <c r="E22" s="32" t="s">
        <v>112</v>
      </c>
    </row>
    <row r="23" spans="1:5" ht="13.5" customHeight="1" x14ac:dyDescent="0.2">
      <c r="A23" s="30" t="s">
        <v>113</v>
      </c>
      <c r="B23" s="30" t="s">
        <v>114</v>
      </c>
      <c r="C23" s="33">
        <v>0.9</v>
      </c>
      <c r="D23" s="30" t="s">
        <v>58</v>
      </c>
      <c r="E23" s="32" t="s">
        <v>115</v>
      </c>
    </row>
    <row r="24" spans="1:5" ht="13.5" customHeight="1" x14ac:dyDescent="0.2">
      <c r="A24" s="30" t="s">
        <v>116</v>
      </c>
      <c r="B24" s="30" t="s">
        <v>106</v>
      </c>
      <c r="C24" s="34">
        <v>0.03</v>
      </c>
      <c r="D24" s="30" t="s">
        <v>58</v>
      </c>
      <c r="E24" s="32" t="s">
        <v>117</v>
      </c>
    </row>
    <row r="25" spans="1:5" ht="13.5" customHeight="1" x14ac:dyDescent="0.2">
      <c r="A25" s="30" t="s">
        <v>118</v>
      </c>
      <c r="B25" s="30" t="s">
        <v>106</v>
      </c>
      <c r="C25" s="31">
        <v>10000</v>
      </c>
      <c r="D25" s="30" t="s">
        <v>119</v>
      </c>
      <c r="E25" s="32" t="s">
        <v>120</v>
      </c>
    </row>
  </sheetData>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3C2B5-3017-4D85-B0EB-504F371BE6D9}">
  <sheetPr>
    <pageSetUpPr fitToPage="1"/>
  </sheetPr>
  <dimension ref="A1:E36"/>
  <sheetViews>
    <sheetView showGridLines="0" zoomScaleNormal="100" workbookViewId="0">
      <selection sqref="A1:XFD1"/>
    </sheetView>
  </sheetViews>
  <sheetFormatPr baseColWidth="10" defaultColWidth="8.6640625" defaultRowHeight="16" x14ac:dyDescent="0.2"/>
  <cols>
    <col min="1" max="1" width="46" style="19" customWidth="1"/>
    <col min="2" max="2" width="24" style="19" customWidth="1"/>
    <col min="3" max="3" width="16" style="19" customWidth="1"/>
    <col min="4" max="4" width="18" style="19" customWidth="1"/>
    <col min="5" max="5" width="74" style="19" customWidth="1"/>
    <col min="6" max="16384" width="8.6640625" style="19"/>
  </cols>
  <sheetData>
    <row r="1" spans="1:5" s="90" customFormat="1" ht="25" x14ac:dyDescent="0.25">
      <c r="A1" s="89" t="s">
        <v>121</v>
      </c>
    </row>
    <row r="2" spans="1:5" x14ac:dyDescent="0.2">
      <c r="A2" s="20" t="s">
        <v>122</v>
      </c>
    </row>
    <row r="4" spans="1:5" s="23" customFormat="1" ht="17" x14ac:dyDescent="0.2">
      <c r="A4" s="29" t="s">
        <v>47</v>
      </c>
      <c r="B4" s="29" t="s">
        <v>123</v>
      </c>
      <c r="C4" s="29" t="s">
        <v>49</v>
      </c>
      <c r="D4" s="29" t="s">
        <v>50</v>
      </c>
      <c r="E4" s="29" t="s">
        <v>124</v>
      </c>
    </row>
    <row r="5" spans="1:5" ht="27" customHeight="1" x14ac:dyDescent="0.2">
      <c r="A5" s="30" t="s">
        <v>125</v>
      </c>
      <c r="B5" s="30" t="s">
        <v>126</v>
      </c>
      <c r="C5" s="35">
        <v>0.54</v>
      </c>
      <c r="D5" s="30" t="s">
        <v>89</v>
      </c>
      <c r="E5" s="32" t="s">
        <v>127</v>
      </c>
    </row>
    <row r="6" spans="1:5" ht="27" customHeight="1" x14ac:dyDescent="0.2">
      <c r="A6" s="30" t="s">
        <v>128</v>
      </c>
      <c r="B6" s="30" t="s">
        <v>129</v>
      </c>
      <c r="C6" s="38">
        <v>2.9000000000000001E-2</v>
      </c>
      <c r="D6" s="30" t="s">
        <v>58</v>
      </c>
      <c r="E6" s="32" t="s">
        <v>130</v>
      </c>
    </row>
    <row r="7" spans="1:5" ht="13.5" customHeight="1" x14ac:dyDescent="0.2">
      <c r="A7" s="30" t="s">
        <v>131</v>
      </c>
      <c r="B7" s="30" t="s">
        <v>132</v>
      </c>
      <c r="C7" s="35">
        <v>0.8</v>
      </c>
      <c r="D7" s="30" t="s">
        <v>89</v>
      </c>
      <c r="E7" s="32" t="s">
        <v>133</v>
      </c>
    </row>
    <row r="8" spans="1:5" ht="27" customHeight="1" x14ac:dyDescent="0.2">
      <c r="A8" s="30" t="s">
        <v>134</v>
      </c>
      <c r="B8" s="30" t="s">
        <v>135</v>
      </c>
      <c r="C8" s="35">
        <v>0.5</v>
      </c>
      <c r="D8" s="30" t="s">
        <v>89</v>
      </c>
      <c r="E8" s="32" t="s">
        <v>136</v>
      </c>
    </row>
    <row r="9" spans="1:5" ht="27" customHeight="1" x14ac:dyDescent="0.2">
      <c r="A9" s="30" t="s">
        <v>137</v>
      </c>
      <c r="B9" s="30" t="s">
        <v>138</v>
      </c>
      <c r="C9" s="35">
        <v>0.75</v>
      </c>
      <c r="D9" s="30" t="s">
        <v>89</v>
      </c>
      <c r="E9" s="32" t="s">
        <v>139</v>
      </c>
    </row>
    <row r="11" spans="1:5" s="23" customFormat="1" x14ac:dyDescent="0.2">
      <c r="A11" s="21" t="s">
        <v>140</v>
      </c>
      <c r="B11" s="22"/>
      <c r="C11" s="22"/>
      <c r="D11" s="22"/>
      <c r="E11" s="22"/>
    </row>
    <row r="12" spans="1:5" ht="34" x14ac:dyDescent="0.2">
      <c r="A12" s="24" t="s">
        <v>141</v>
      </c>
      <c r="B12" s="24" t="s">
        <v>123</v>
      </c>
      <c r="C12" s="24" t="s">
        <v>138</v>
      </c>
      <c r="D12" s="24" t="s">
        <v>50</v>
      </c>
      <c r="E12" s="24" t="s">
        <v>124</v>
      </c>
    </row>
    <row r="13" spans="1:5" ht="13.5" customHeight="1" x14ac:dyDescent="0.2">
      <c r="A13" s="30" t="s">
        <v>142</v>
      </c>
      <c r="B13" s="30" t="s">
        <v>138</v>
      </c>
      <c r="C13" s="35">
        <v>0.7</v>
      </c>
      <c r="D13" s="30" t="s">
        <v>89</v>
      </c>
      <c r="E13" s="32"/>
    </row>
    <row r="14" spans="1:5" ht="13.5" customHeight="1" x14ac:dyDescent="0.2">
      <c r="A14" s="30" t="s">
        <v>143</v>
      </c>
      <c r="B14" s="30" t="s">
        <v>138</v>
      </c>
      <c r="C14" s="35">
        <v>0.7</v>
      </c>
      <c r="D14" s="30" t="s">
        <v>89</v>
      </c>
      <c r="E14" s="32"/>
    </row>
    <row r="15" spans="1:5" ht="13.5" customHeight="1" x14ac:dyDescent="0.2">
      <c r="A15" s="30" t="s">
        <v>144</v>
      </c>
      <c r="B15" s="30" t="s">
        <v>138</v>
      </c>
      <c r="C15" s="35">
        <v>0.7</v>
      </c>
      <c r="D15" s="30" t="s">
        <v>89</v>
      </c>
      <c r="E15" s="32"/>
    </row>
    <row r="16" spans="1:5" ht="13.5" customHeight="1" x14ac:dyDescent="0.2">
      <c r="A16" s="30" t="s">
        <v>145</v>
      </c>
      <c r="B16" s="30" t="s">
        <v>138</v>
      </c>
      <c r="C16" s="35">
        <v>0.7</v>
      </c>
      <c r="D16" s="30" t="s">
        <v>89</v>
      </c>
      <c r="E16" s="32"/>
    </row>
    <row r="17" spans="1:5" ht="13.5" customHeight="1" x14ac:dyDescent="0.2">
      <c r="A17" s="30" t="s">
        <v>146</v>
      </c>
      <c r="B17" s="30" t="s">
        <v>138</v>
      </c>
      <c r="C17" s="35">
        <v>0.7</v>
      </c>
      <c r="D17" s="30" t="s">
        <v>89</v>
      </c>
      <c r="E17" s="32"/>
    </row>
    <row r="18" spans="1:5" ht="13.5" customHeight="1" x14ac:dyDescent="0.2">
      <c r="A18" s="30" t="s">
        <v>147</v>
      </c>
      <c r="B18" s="30" t="s">
        <v>138</v>
      </c>
      <c r="C18" s="35">
        <v>0.7</v>
      </c>
      <c r="D18" s="30" t="s">
        <v>89</v>
      </c>
      <c r="E18" s="32"/>
    </row>
    <row r="19" spans="1:5" ht="13.5" customHeight="1" x14ac:dyDescent="0.2">
      <c r="A19" s="30" t="s">
        <v>148</v>
      </c>
      <c r="B19" s="30" t="s">
        <v>138</v>
      </c>
      <c r="C19" s="35">
        <v>0.65</v>
      </c>
      <c r="D19" s="30" t="s">
        <v>89</v>
      </c>
      <c r="E19" s="32"/>
    </row>
    <row r="20" spans="1:5" ht="13.5" customHeight="1" x14ac:dyDescent="0.2">
      <c r="A20" s="30" t="s">
        <v>149</v>
      </c>
      <c r="B20" s="30" t="s">
        <v>138</v>
      </c>
      <c r="C20" s="35">
        <v>0.65</v>
      </c>
      <c r="D20" s="30" t="s">
        <v>89</v>
      </c>
      <c r="E20" s="32"/>
    </row>
    <row r="21" spans="1:5" ht="13.5" customHeight="1" x14ac:dyDescent="0.2">
      <c r="A21" s="30" t="s">
        <v>150</v>
      </c>
      <c r="B21" s="30" t="s">
        <v>138</v>
      </c>
      <c r="C21" s="35">
        <v>0.6</v>
      </c>
      <c r="D21" s="30" t="s">
        <v>89</v>
      </c>
      <c r="E21" s="32"/>
    </row>
    <row r="22" spans="1:5" ht="13.5" customHeight="1" x14ac:dyDescent="0.2">
      <c r="A22" s="30" t="s">
        <v>151</v>
      </c>
      <c r="B22" s="30" t="s">
        <v>138</v>
      </c>
      <c r="C22" s="35">
        <v>0.55000000000000004</v>
      </c>
      <c r="D22" s="30" t="s">
        <v>89</v>
      </c>
      <c r="E22" s="32"/>
    </row>
    <row r="23" spans="1:5" ht="12" customHeight="1" x14ac:dyDescent="0.2">
      <c r="A23" s="30" t="s">
        <v>152</v>
      </c>
      <c r="B23" s="30" t="s">
        <v>138</v>
      </c>
      <c r="C23" s="35">
        <v>0.4</v>
      </c>
      <c r="D23" s="30" t="s">
        <v>89</v>
      </c>
      <c r="E23" s="32" t="s">
        <v>153</v>
      </c>
    </row>
    <row r="24" spans="1:5" ht="13.5" customHeight="1" x14ac:dyDescent="0.2">
      <c r="A24" s="30" t="s">
        <v>154</v>
      </c>
      <c r="B24" s="30" t="s">
        <v>138</v>
      </c>
      <c r="C24" s="35">
        <v>0.4</v>
      </c>
      <c r="D24" s="30" t="s">
        <v>89</v>
      </c>
      <c r="E24" s="32"/>
    </row>
    <row r="25" spans="1:5" ht="13.5" customHeight="1" x14ac:dyDescent="0.2">
      <c r="A25" s="30" t="s">
        <v>155</v>
      </c>
      <c r="B25" s="30" t="s">
        <v>138</v>
      </c>
      <c r="C25" s="35">
        <v>0.4</v>
      </c>
      <c r="D25" s="30" t="s">
        <v>89</v>
      </c>
      <c r="E25" s="32"/>
    </row>
    <row r="26" spans="1:5" ht="13.5" customHeight="1" x14ac:dyDescent="0.2">
      <c r="A26" s="30" t="s">
        <v>156</v>
      </c>
      <c r="B26" s="30" t="s">
        <v>138</v>
      </c>
      <c r="C26" s="35">
        <v>0.4</v>
      </c>
      <c r="D26" s="30" t="s">
        <v>89</v>
      </c>
      <c r="E26" s="32"/>
    </row>
    <row r="27" spans="1:5" ht="13.5" customHeight="1" x14ac:dyDescent="0.2">
      <c r="A27" s="30" t="s">
        <v>157</v>
      </c>
      <c r="B27" s="30" t="s">
        <v>138</v>
      </c>
      <c r="C27" s="35">
        <v>0.45</v>
      </c>
      <c r="D27" s="30" t="s">
        <v>89</v>
      </c>
      <c r="E27" s="32"/>
    </row>
    <row r="28" spans="1:5" ht="13.5" customHeight="1" x14ac:dyDescent="0.2">
      <c r="A28" s="30" t="s">
        <v>158</v>
      </c>
      <c r="B28" s="30" t="s">
        <v>138</v>
      </c>
      <c r="C28" s="35">
        <v>0.55000000000000004</v>
      </c>
      <c r="D28" s="30" t="s">
        <v>89</v>
      </c>
      <c r="E28" s="32"/>
    </row>
    <row r="29" spans="1:5" ht="13.5" customHeight="1" x14ac:dyDescent="0.2">
      <c r="A29" s="30" t="s">
        <v>159</v>
      </c>
      <c r="B29" s="30" t="s">
        <v>138</v>
      </c>
      <c r="C29" s="35">
        <v>0.6</v>
      </c>
      <c r="D29" s="30" t="s">
        <v>89</v>
      </c>
      <c r="E29" s="32"/>
    </row>
    <row r="30" spans="1:5" ht="13.5" customHeight="1" x14ac:dyDescent="0.2">
      <c r="A30" s="30" t="s">
        <v>160</v>
      </c>
      <c r="B30" s="30" t="s">
        <v>138</v>
      </c>
      <c r="C30" s="35">
        <v>0.7</v>
      </c>
      <c r="D30" s="30" t="s">
        <v>89</v>
      </c>
      <c r="E30" s="32"/>
    </row>
    <row r="31" spans="1:5" ht="16" customHeight="1" x14ac:dyDescent="0.2">
      <c r="A31" s="30" t="s">
        <v>161</v>
      </c>
      <c r="B31" s="30" t="s">
        <v>138</v>
      </c>
      <c r="C31" s="35">
        <v>0.85</v>
      </c>
      <c r="D31" s="30" t="s">
        <v>89</v>
      </c>
      <c r="E31" s="32" t="s">
        <v>153</v>
      </c>
    </row>
    <row r="32" spans="1:5" ht="13.5" customHeight="1" x14ac:dyDescent="0.2">
      <c r="A32" s="30" t="s">
        <v>162</v>
      </c>
      <c r="B32" s="30" t="s">
        <v>138</v>
      </c>
      <c r="C32" s="35">
        <v>0.85</v>
      </c>
      <c r="D32" s="30" t="s">
        <v>89</v>
      </c>
      <c r="E32" s="32"/>
    </row>
    <row r="33" spans="1:5" ht="13.5" customHeight="1" x14ac:dyDescent="0.2">
      <c r="A33" s="30" t="s">
        <v>163</v>
      </c>
      <c r="B33" s="30" t="s">
        <v>138</v>
      </c>
      <c r="C33" s="35">
        <v>0.85</v>
      </c>
      <c r="D33" s="30" t="s">
        <v>89</v>
      </c>
      <c r="E33" s="32"/>
    </row>
    <row r="34" spans="1:5" ht="13.5" customHeight="1" x14ac:dyDescent="0.2">
      <c r="A34" s="30" t="s">
        <v>164</v>
      </c>
      <c r="B34" s="30" t="s">
        <v>138</v>
      </c>
      <c r="C34" s="35">
        <v>0.85</v>
      </c>
      <c r="D34" s="30" t="s">
        <v>89</v>
      </c>
      <c r="E34" s="32"/>
    </row>
    <row r="35" spans="1:5" ht="13.5" customHeight="1" x14ac:dyDescent="0.2">
      <c r="A35" s="30" t="s">
        <v>165</v>
      </c>
      <c r="B35" s="30" t="s">
        <v>138</v>
      </c>
      <c r="C35" s="35">
        <v>0.75</v>
      </c>
      <c r="D35" s="30" t="s">
        <v>89</v>
      </c>
      <c r="E35" s="32"/>
    </row>
    <row r="36" spans="1:5" ht="13.5" customHeight="1" x14ac:dyDescent="0.2">
      <c r="A36" s="30" t="s">
        <v>166</v>
      </c>
      <c r="B36" s="30" t="s">
        <v>138</v>
      </c>
      <c r="C36" s="35">
        <v>0.7</v>
      </c>
      <c r="D36" s="30" t="s">
        <v>89</v>
      </c>
      <c r="E36" s="32"/>
    </row>
  </sheetData>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71A69-69AE-4BBA-92D2-34B098B15A4D}">
  <sheetPr>
    <pageSetUpPr fitToPage="1"/>
  </sheetPr>
  <dimension ref="A1:E41"/>
  <sheetViews>
    <sheetView showGridLines="0" zoomScaleNormal="100" workbookViewId="0">
      <selection sqref="A1:XFD1"/>
    </sheetView>
  </sheetViews>
  <sheetFormatPr baseColWidth="10" defaultColWidth="8.6640625" defaultRowHeight="16" x14ac:dyDescent="0.2"/>
  <cols>
    <col min="1" max="1" width="46" style="19" customWidth="1"/>
    <col min="2" max="2" width="24" style="19" customWidth="1"/>
    <col min="3" max="3" width="16" style="19" customWidth="1"/>
    <col min="4" max="4" width="18" style="19" customWidth="1"/>
    <col min="5" max="5" width="74" style="19" customWidth="1"/>
    <col min="6" max="16384" width="8.6640625" style="19"/>
  </cols>
  <sheetData>
    <row r="1" spans="1:5" s="90" customFormat="1" ht="25" x14ac:dyDescent="0.25">
      <c r="A1" s="89" t="s">
        <v>167</v>
      </c>
    </row>
    <row r="2" spans="1:5" x14ac:dyDescent="0.2">
      <c r="A2" s="20" t="s">
        <v>168</v>
      </c>
    </row>
    <row r="4" spans="1:5" ht="40.5" customHeight="1" x14ac:dyDescent="0.2">
      <c r="A4" s="96" t="s">
        <v>169</v>
      </c>
      <c r="B4" s="96"/>
      <c r="C4" s="96"/>
      <c r="D4" s="96"/>
      <c r="E4" s="96"/>
    </row>
    <row r="5" spans="1:5" ht="27" customHeight="1" x14ac:dyDescent="0.2">
      <c r="A5" s="96" t="s">
        <v>170</v>
      </c>
      <c r="B5" s="96"/>
      <c r="C5" s="96"/>
      <c r="D5" s="96"/>
      <c r="E5" s="96"/>
    </row>
    <row r="6" spans="1:5" s="23" customFormat="1" x14ac:dyDescent="0.2">
      <c r="A6" s="21" t="s">
        <v>171</v>
      </c>
      <c r="B6" s="22"/>
      <c r="C6" s="22"/>
      <c r="D6" s="22"/>
      <c r="E6" s="22"/>
    </row>
    <row r="7" spans="1:5" ht="17" x14ac:dyDescent="0.2">
      <c r="A7" s="24" t="s">
        <v>47</v>
      </c>
      <c r="B7" s="24" t="s">
        <v>123</v>
      </c>
      <c r="C7" s="24" t="s">
        <v>49</v>
      </c>
      <c r="D7" s="24" t="s">
        <v>50</v>
      </c>
      <c r="E7" s="24" t="s">
        <v>124</v>
      </c>
    </row>
    <row r="8" spans="1:5" ht="13.5" customHeight="1" x14ac:dyDescent="0.2">
      <c r="A8" s="30" t="s">
        <v>172</v>
      </c>
      <c r="B8" s="30" t="s">
        <v>106</v>
      </c>
      <c r="C8" s="36">
        <v>50</v>
      </c>
      <c r="D8" s="30" t="s">
        <v>173</v>
      </c>
      <c r="E8" s="32" t="s">
        <v>174</v>
      </c>
    </row>
    <row r="9" spans="1:5" ht="13.5" customHeight="1" x14ac:dyDescent="0.2">
      <c r="A9" s="30" t="s">
        <v>175</v>
      </c>
      <c r="B9" s="30" t="s">
        <v>176</v>
      </c>
      <c r="C9" s="36">
        <v>62.5</v>
      </c>
      <c r="D9" s="30" t="s">
        <v>177</v>
      </c>
      <c r="E9" s="32" t="s">
        <v>178</v>
      </c>
    </row>
    <row r="10" spans="1:5" ht="13.5" customHeight="1" x14ac:dyDescent="0.2">
      <c r="A10" s="30" t="s">
        <v>179</v>
      </c>
      <c r="B10" s="30" t="s">
        <v>106</v>
      </c>
      <c r="C10" s="34">
        <v>0.18</v>
      </c>
      <c r="D10" s="30" t="s">
        <v>58</v>
      </c>
      <c r="E10" s="32" t="s">
        <v>180</v>
      </c>
    </row>
    <row r="11" spans="1:5" ht="27" customHeight="1" x14ac:dyDescent="0.2">
      <c r="A11" s="30" t="s">
        <v>181</v>
      </c>
      <c r="B11" s="30" t="s">
        <v>182</v>
      </c>
      <c r="C11" s="39">
        <f>C8*C10*8760</f>
        <v>78840</v>
      </c>
      <c r="D11" s="30" t="s">
        <v>183</v>
      </c>
      <c r="E11" s="32" t="s">
        <v>184</v>
      </c>
    </row>
    <row r="12" spans="1:5" ht="27" customHeight="1" x14ac:dyDescent="0.2">
      <c r="A12" s="30" t="s">
        <v>185</v>
      </c>
      <c r="B12" s="30" t="s">
        <v>186</v>
      </c>
      <c r="C12" s="31">
        <v>0</v>
      </c>
      <c r="D12" s="30" t="s">
        <v>183</v>
      </c>
      <c r="E12" s="32" t="s">
        <v>187</v>
      </c>
    </row>
    <row r="13" spans="1:5" s="23" customFormat="1" x14ac:dyDescent="0.2">
      <c r="A13" s="21" t="s">
        <v>188</v>
      </c>
      <c r="B13" s="22"/>
      <c r="C13" s="22"/>
      <c r="D13" s="22"/>
      <c r="E13" s="22"/>
    </row>
    <row r="14" spans="1:5" ht="17" x14ac:dyDescent="0.2">
      <c r="A14" s="24" t="s">
        <v>47</v>
      </c>
      <c r="B14" s="24" t="s">
        <v>123</v>
      </c>
      <c r="C14" s="24" t="s">
        <v>49</v>
      </c>
      <c r="D14" s="24" t="s">
        <v>50</v>
      </c>
      <c r="E14" s="24" t="s">
        <v>189</v>
      </c>
    </row>
    <row r="15" spans="1:5" ht="27" customHeight="1" x14ac:dyDescent="0.2">
      <c r="A15" s="30" t="s">
        <v>190</v>
      </c>
      <c r="B15" s="30" t="s">
        <v>126</v>
      </c>
      <c r="C15" s="40">
        <f>'Host system'!$C$5</f>
        <v>0.54</v>
      </c>
      <c r="D15" s="30" t="s">
        <v>89</v>
      </c>
      <c r="E15" s="32" t="s">
        <v>191</v>
      </c>
    </row>
    <row r="16" spans="1:5" ht="13.5" customHeight="1" x14ac:dyDescent="0.2">
      <c r="A16" s="30" t="s">
        <v>128</v>
      </c>
      <c r="B16" s="30" t="s">
        <v>129</v>
      </c>
      <c r="C16" s="41">
        <f>'Host system'!$C$6</f>
        <v>2.9000000000000001E-2</v>
      </c>
      <c r="D16" s="30" t="s">
        <v>58</v>
      </c>
      <c r="E16" s="32" t="s">
        <v>191</v>
      </c>
    </row>
    <row r="17" spans="1:5" ht="13.5" customHeight="1" x14ac:dyDescent="0.2">
      <c r="A17" s="30" t="s">
        <v>56</v>
      </c>
      <c r="B17" s="30" t="s">
        <v>57</v>
      </c>
      <c r="C17" s="42">
        <f>Defaults!$C$6</f>
        <v>1</v>
      </c>
      <c r="D17" s="30" t="s">
        <v>58</v>
      </c>
      <c r="E17" s="32" t="s">
        <v>192</v>
      </c>
    </row>
    <row r="18" spans="1:5" ht="13.5" customHeight="1" x14ac:dyDescent="0.2">
      <c r="A18" s="30" t="s">
        <v>193</v>
      </c>
      <c r="B18" s="30" t="s">
        <v>194</v>
      </c>
      <c r="C18" s="43">
        <f>Defaults!$C$7</f>
        <v>1000</v>
      </c>
      <c r="D18" s="30" t="s">
        <v>195</v>
      </c>
      <c r="E18" s="32" t="s">
        <v>192</v>
      </c>
    </row>
    <row r="19" spans="1:5" ht="13.5" customHeight="1" x14ac:dyDescent="0.2">
      <c r="A19" s="30" t="s">
        <v>196</v>
      </c>
      <c r="B19" s="30" t="s">
        <v>197</v>
      </c>
      <c r="C19" s="43">
        <f>Defaults!$C$13</f>
        <v>30</v>
      </c>
      <c r="D19" s="30" t="s">
        <v>54</v>
      </c>
      <c r="E19" s="32" t="s">
        <v>192</v>
      </c>
    </row>
    <row r="20" spans="1:5" ht="13.5" customHeight="1" x14ac:dyDescent="0.2">
      <c r="A20" s="30" t="s">
        <v>52</v>
      </c>
      <c r="B20" s="30" t="s">
        <v>198</v>
      </c>
      <c r="C20" s="43">
        <f>Defaults!$C$5</f>
        <v>15</v>
      </c>
      <c r="D20" s="30" t="s">
        <v>54</v>
      </c>
      <c r="E20" s="32" t="s">
        <v>192</v>
      </c>
    </row>
    <row r="21" spans="1:5" s="23" customFormat="1" x14ac:dyDescent="0.2">
      <c r="A21" s="21" t="s">
        <v>199</v>
      </c>
      <c r="B21" s="22"/>
      <c r="C21" s="22"/>
      <c r="D21" s="22"/>
      <c r="E21" s="22"/>
    </row>
    <row r="22" spans="1:5" ht="17" x14ac:dyDescent="0.2">
      <c r="A22" s="24" t="s">
        <v>200</v>
      </c>
      <c r="B22" s="24" t="s">
        <v>123</v>
      </c>
      <c r="C22" s="24" t="s">
        <v>49</v>
      </c>
      <c r="D22" s="24" t="s">
        <v>50</v>
      </c>
      <c r="E22" s="24" t="s">
        <v>201</v>
      </c>
    </row>
    <row r="23" spans="1:5" ht="13.5" customHeight="1" x14ac:dyDescent="0.2">
      <c r="A23" s="30" t="s">
        <v>202</v>
      </c>
      <c r="B23" s="30" t="s">
        <v>203</v>
      </c>
      <c r="C23" s="39">
        <f>C11-C12</f>
        <v>78840</v>
      </c>
      <c r="D23" s="30" t="s">
        <v>183</v>
      </c>
      <c r="E23" s="32" t="s">
        <v>204</v>
      </c>
    </row>
    <row r="24" spans="1:5" ht="27" customHeight="1" x14ac:dyDescent="0.2">
      <c r="A24" s="30" t="s">
        <v>205</v>
      </c>
      <c r="B24" s="30" t="s">
        <v>206</v>
      </c>
      <c r="C24" s="39">
        <f>C23*C15</f>
        <v>42573.600000000006</v>
      </c>
      <c r="D24" s="30" t="s">
        <v>207</v>
      </c>
      <c r="E24" s="32" t="s">
        <v>208</v>
      </c>
    </row>
    <row r="25" spans="1:5" ht="13.5" customHeight="1" x14ac:dyDescent="0.2">
      <c r="A25" s="30" t="s">
        <v>209</v>
      </c>
      <c r="B25" s="30" t="s">
        <v>210</v>
      </c>
      <c r="C25" s="39">
        <f>C24</f>
        <v>42573.600000000006</v>
      </c>
      <c r="D25" s="30" t="s">
        <v>207</v>
      </c>
      <c r="E25" s="32" t="s">
        <v>211</v>
      </c>
    </row>
    <row r="26" spans="1:5" ht="27" customHeight="1" x14ac:dyDescent="0.2">
      <c r="A26" s="30" t="s">
        <v>212</v>
      </c>
      <c r="B26" s="30" t="s">
        <v>213</v>
      </c>
      <c r="C26" s="39">
        <f>C25</f>
        <v>42573.600000000006</v>
      </c>
      <c r="D26" s="30" t="s">
        <v>207</v>
      </c>
      <c r="E26" s="32" t="s">
        <v>214</v>
      </c>
    </row>
    <row r="27" spans="1:5" ht="13.5" customHeight="1" x14ac:dyDescent="0.2">
      <c r="A27" s="30" t="s">
        <v>215</v>
      </c>
      <c r="B27" s="30" t="s">
        <v>216</v>
      </c>
      <c r="C27" s="39">
        <f>C26*(1-C16)</f>
        <v>41338.965600000003</v>
      </c>
      <c r="D27" s="30" t="s">
        <v>207</v>
      </c>
      <c r="E27" s="32" t="s">
        <v>217</v>
      </c>
    </row>
    <row r="28" spans="1:5" ht="13.5" customHeight="1" x14ac:dyDescent="0.2">
      <c r="A28" s="30" t="s">
        <v>218</v>
      </c>
      <c r="B28" s="30" t="s">
        <v>219</v>
      </c>
      <c r="C28" s="39">
        <f>C26</f>
        <v>42573.600000000006</v>
      </c>
      <c r="D28" s="30" t="s">
        <v>207</v>
      </c>
      <c r="E28" s="32" t="s">
        <v>220</v>
      </c>
    </row>
    <row r="29" spans="1:5" ht="13.5" customHeight="1" x14ac:dyDescent="0.2">
      <c r="A29" s="44" t="s">
        <v>221</v>
      </c>
      <c r="B29" s="44" t="s">
        <v>222</v>
      </c>
      <c r="C29" s="45">
        <f>MIN(C27,C28)*C17</f>
        <v>41338.965600000003</v>
      </c>
      <c r="D29" s="44" t="s">
        <v>207</v>
      </c>
      <c r="E29" s="46" t="s">
        <v>223</v>
      </c>
    </row>
    <row r="30" spans="1:5" ht="27" customHeight="1" x14ac:dyDescent="0.2">
      <c r="A30" s="30" t="s">
        <v>224</v>
      </c>
      <c r="B30" s="30" t="s">
        <v>225</v>
      </c>
      <c r="C30" s="39">
        <f>C28-C29</f>
        <v>1234.6344000000026</v>
      </c>
      <c r="D30" s="30" t="s">
        <v>207</v>
      </c>
      <c r="E30" s="32" t="s">
        <v>226</v>
      </c>
    </row>
    <row r="31" spans="1:5" s="23" customFormat="1" x14ac:dyDescent="0.2">
      <c r="A31" s="21" t="s">
        <v>227</v>
      </c>
      <c r="B31" s="22"/>
      <c r="C31" s="22"/>
      <c r="D31" s="22"/>
      <c r="E31" s="22"/>
    </row>
    <row r="32" spans="1:5" ht="17" x14ac:dyDescent="0.2">
      <c r="A32" s="24" t="s">
        <v>228</v>
      </c>
      <c r="B32" s="24" t="s">
        <v>123</v>
      </c>
      <c r="C32" s="24" t="s">
        <v>49</v>
      </c>
      <c r="D32" s="24" t="s">
        <v>50</v>
      </c>
      <c r="E32" s="24" t="s">
        <v>201</v>
      </c>
    </row>
    <row r="33" spans="1:5" ht="27" customHeight="1" x14ac:dyDescent="0.2">
      <c r="A33" s="30" t="s">
        <v>229</v>
      </c>
      <c r="B33" s="30" t="s">
        <v>230</v>
      </c>
      <c r="C33" s="31">
        <v>0</v>
      </c>
      <c r="D33" s="30" t="s">
        <v>207</v>
      </c>
      <c r="E33" s="32" t="s">
        <v>231</v>
      </c>
    </row>
    <row r="34" spans="1:5" ht="13.5" customHeight="1" x14ac:dyDescent="0.2">
      <c r="A34" s="30" t="s">
        <v>232</v>
      </c>
      <c r="B34" s="30" t="s">
        <v>233</v>
      </c>
      <c r="C34" s="39">
        <f>C29-C33</f>
        <v>41338.965600000003</v>
      </c>
      <c r="D34" s="30" t="s">
        <v>207</v>
      </c>
      <c r="E34" s="32" t="s">
        <v>234</v>
      </c>
    </row>
    <row r="35" spans="1:5" ht="27" customHeight="1" x14ac:dyDescent="0.2">
      <c r="A35" s="30" t="s">
        <v>235</v>
      </c>
      <c r="B35" s="30" t="s">
        <v>236</v>
      </c>
      <c r="C35" s="39">
        <f>C9*C18/MIN(C19,C20)</f>
        <v>4166.666666666667</v>
      </c>
      <c r="D35" s="30" t="s">
        <v>207</v>
      </c>
      <c r="E35" s="32" t="s">
        <v>237</v>
      </c>
    </row>
    <row r="36" spans="1:5" ht="13.5" customHeight="1" x14ac:dyDescent="0.2">
      <c r="A36" s="30" t="s">
        <v>238</v>
      </c>
      <c r="B36" s="30" t="s">
        <v>239</v>
      </c>
      <c r="C36" s="31">
        <v>0</v>
      </c>
      <c r="D36" s="30" t="s">
        <v>207</v>
      </c>
      <c r="E36" s="32" t="s">
        <v>240</v>
      </c>
    </row>
    <row r="37" spans="1:5" ht="13.5" customHeight="1" x14ac:dyDescent="0.2">
      <c r="A37" s="30" t="s">
        <v>241</v>
      </c>
      <c r="B37" s="30" t="s">
        <v>242</v>
      </c>
      <c r="C37" s="39">
        <f>C35+C36</f>
        <v>4166.666666666667</v>
      </c>
      <c r="D37" s="30" t="s">
        <v>207</v>
      </c>
      <c r="E37" s="32" t="s">
        <v>243</v>
      </c>
    </row>
    <row r="38" spans="1:5" ht="13.5" customHeight="1" x14ac:dyDescent="0.2">
      <c r="A38" s="30" t="s">
        <v>244</v>
      </c>
      <c r="B38" s="30" t="s">
        <v>245</v>
      </c>
      <c r="C38" s="39">
        <f>C34-C37</f>
        <v>37172.298933333339</v>
      </c>
      <c r="D38" s="30" t="s">
        <v>207</v>
      </c>
      <c r="E38" s="32" t="s">
        <v>246</v>
      </c>
    </row>
    <row r="39" spans="1:5" ht="13.5" customHeight="1" x14ac:dyDescent="0.2">
      <c r="A39" s="44" t="s">
        <v>247</v>
      </c>
      <c r="B39" s="44" t="s">
        <v>248</v>
      </c>
      <c r="C39" s="45">
        <f>MAX(0,C38-0)</f>
        <v>37172.298933333339</v>
      </c>
      <c r="D39" s="44" t="s">
        <v>207</v>
      </c>
      <c r="E39" s="46" t="s">
        <v>249</v>
      </c>
    </row>
    <row r="41" spans="1:5" ht="27" customHeight="1" x14ac:dyDescent="0.2">
      <c r="A41" s="96" t="s">
        <v>250</v>
      </c>
      <c r="B41" s="96"/>
      <c r="C41" s="96"/>
      <c r="D41" s="96"/>
      <c r="E41" s="96"/>
    </row>
  </sheetData>
  <mergeCells count="3">
    <mergeCell ref="A4:E4"/>
    <mergeCell ref="A5:E5"/>
    <mergeCell ref="A41:E41"/>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0517-CA2E-4CAE-80A0-B87BB7A86936}">
  <sheetPr>
    <pageSetUpPr fitToPage="1"/>
  </sheetPr>
  <dimension ref="A1:E52"/>
  <sheetViews>
    <sheetView showGridLines="0" zoomScale="104" zoomScaleNormal="104" workbookViewId="0">
      <selection sqref="A1:XFD1"/>
    </sheetView>
  </sheetViews>
  <sheetFormatPr baseColWidth="10" defaultColWidth="8.6640625" defaultRowHeight="16" x14ac:dyDescent="0.2"/>
  <cols>
    <col min="1" max="1" width="46" style="19" customWidth="1"/>
    <col min="2" max="2" width="24" style="19" customWidth="1"/>
    <col min="3" max="3" width="16" style="19" customWidth="1"/>
    <col min="4" max="4" width="18" style="19" customWidth="1"/>
    <col min="5" max="5" width="74" style="19" customWidth="1"/>
    <col min="6" max="16384" width="8.6640625" style="19"/>
  </cols>
  <sheetData>
    <row r="1" spans="1:5" s="90" customFormat="1" ht="25" x14ac:dyDescent="0.25">
      <c r="A1" s="89" t="s">
        <v>251</v>
      </c>
    </row>
    <row r="2" spans="1:5" x14ac:dyDescent="0.2">
      <c r="A2" s="20" t="s">
        <v>168</v>
      </c>
    </row>
    <row r="4" spans="1:5" ht="51.5" customHeight="1" x14ac:dyDescent="0.2">
      <c r="A4" s="96" t="s">
        <v>252</v>
      </c>
      <c r="B4" s="96"/>
      <c r="C4" s="96"/>
      <c r="D4" s="96"/>
      <c r="E4" s="96"/>
    </row>
    <row r="5" spans="1:5" ht="45" customHeight="1" x14ac:dyDescent="0.2">
      <c r="A5" s="96" t="s">
        <v>253</v>
      </c>
      <c r="B5" s="96"/>
      <c r="C5" s="96"/>
      <c r="D5" s="96"/>
      <c r="E5" s="96"/>
    </row>
    <row r="6" spans="1:5" s="23" customFormat="1" x14ac:dyDescent="0.2">
      <c r="A6" s="21" t="s">
        <v>254</v>
      </c>
      <c r="B6" s="22"/>
      <c r="C6" s="22"/>
      <c r="D6" s="22"/>
      <c r="E6" s="22"/>
    </row>
    <row r="7" spans="1:5" ht="34" x14ac:dyDescent="0.2">
      <c r="A7" s="24" t="s">
        <v>255</v>
      </c>
      <c r="B7" s="24" t="s">
        <v>256</v>
      </c>
      <c r="C7" s="24" t="s">
        <v>257</v>
      </c>
      <c r="D7" s="24" t="s">
        <v>258</v>
      </c>
      <c r="E7" s="24" t="s">
        <v>124</v>
      </c>
    </row>
    <row r="8" spans="1:5" x14ac:dyDescent="0.2">
      <c r="A8" s="47" t="s">
        <v>259</v>
      </c>
      <c r="B8" s="48">
        <v>67415</v>
      </c>
      <c r="C8" s="49">
        <v>0.97</v>
      </c>
      <c r="D8" s="50">
        <f>B8/C8</f>
        <v>69500</v>
      </c>
      <c r="E8" s="51" t="s">
        <v>260</v>
      </c>
    </row>
    <row r="9" spans="1:5" x14ac:dyDescent="0.2">
      <c r="A9" s="47" t="s">
        <v>261</v>
      </c>
      <c r="B9" s="48">
        <v>74340</v>
      </c>
      <c r="C9" s="49">
        <v>1.05</v>
      </c>
      <c r="D9" s="50">
        <f>B9/C9</f>
        <v>70800</v>
      </c>
      <c r="E9" s="51"/>
    </row>
    <row r="10" spans="1:5" x14ac:dyDescent="0.2">
      <c r="A10" s="47" t="s">
        <v>262</v>
      </c>
      <c r="B10" s="48">
        <v>69700</v>
      </c>
      <c r="C10" s="49">
        <v>1</v>
      </c>
      <c r="D10" s="50">
        <f>B10/C10</f>
        <v>69700</v>
      </c>
      <c r="E10" s="51"/>
    </row>
    <row r="11" spans="1:5" ht="17" x14ac:dyDescent="0.2">
      <c r="A11" s="24" t="s">
        <v>47</v>
      </c>
      <c r="B11" s="24" t="s">
        <v>123</v>
      </c>
      <c r="C11" s="24" t="s">
        <v>49</v>
      </c>
      <c r="D11" s="24" t="s">
        <v>50</v>
      </c>
      <c r="E11" s="24" t="s">
        <v>263</v>
      </c>
    </row>
    <row r="12" spans="1:5" ht="13.5" customHeight="1" x14ac:dyDescent="0.2">
      <c r="A12" s="30" t="s">
        <v>264</v>
      </c>
      <c r="B12" s="30" t="s">
        <v>106</v>
      </c>
      <c r="C12" s="39">
        <f>AVERAGE(D8:D10)</f>
        <v>70000</v>
      </c>
      <c r="D12" s="30" t="s">
        <v>183</v>
      </c>
      <c r="E12" s="32" t="s">
        <v>265</v>
      </c>
    </row>
    <row r="13" spans="1:5" ht="13.5" customHeight="1" x14ac:dyDescent="0.2">
      <c r="A13" s="30" t="s">
        <v>266</v>
      </c>
      <c r="B13" s="30" t="s">
        <v>106</v>
      </c>
      <c r="C13" s="39">
        <f>MEDIAN(D8:D10)</f>
        <v>69700</v>
      </c>
      <c r="D13" s="30" t="s">
        <v>183</v>
      </c>
      <c r="E13" s="32" t="s">
        <v>267</v>
      </c>
    </row>
    <row r="14" spans="1:5" ht="27" customHeight="1" x14ac:dyDescent="0.2">
      <c r="A14" s="30" t="s">
        <v>268</v>
      </c>
      <c r="B14" s="30" t="s">
        <v>106</v>
      </c>
      <c r="C14" s="52">
        <f>(MAX(D8:D10)-MIN(D8:D10))/C12</f>
        <v>1.8571428571428572E-2</v>
      </c>
      <c r="D14" s="30" t="s">
        <v>58</v>
      </c>
      <c r="E14" s="32" t="s">
        <v>269</v>
      </c>
    </row>
    <row r="15" spans="1:5" ht="27" customHeight="1" x14ac:dyDescent="0.2">
      <c r="A15" s="44" t="s">
        <v>270</v>
      </c>
      <c r="B15" s="44" t="s">
        <v>271</v>
      </c>
      <c r="C15" s="45">
        <f>IF(C14&gt;0.1,MAX(C12,C13),C12)</f>
        <v>70000</v>
      </c>
      <c r="D15" s="44" t="s">
        <v>183</v>
      </c>
      <c r="E15" s="46" t="s">
        <v>272</v>
      </c>
    </row>
    <row r="16" spans="1:5" s="23" customFormat="1" x14ac:dyDescent="0.2">
      <c r="A16" s="21" t="s">
        <v>171</v>
      </c>
      <c r="B16" s="22"/>
      <c r="C16" s="22"/>
      <c r="D16" s="22"/>
      <c r="E16" s="22"/>
    </row>
    <row r="17" spans="1:5" ht="17" x14ac:dyDescent="0.2">
      <c r="A17" s="24" t="s">
        <v>47</v>
      </c>
      <c r="B17" s="24" t="s">
        <v>123</v>
      </c>
      <c r="C17" s="24" t="s">
        <v>49</v>
      </c>
      <c r="D17" s="24" t="s">
        <v>50</v>
      </c>
      <c r="E17" s="24" t="s">
        <v>124</v>
      </c>
    </row>
    <row r="18" spans="1:5" ht="27" customHeight="1" x14ac:dyDescent="0.2">
      <c r="A18" s="30" t="s">
        <v>273</v>
      </c>
      <c r="B18" s="30" t="s">
        <v>274</v>
      </c>
      <c r="C18" s="31">
        <v>6</v>
      </c>
      <c r="D18" s="30" t="s">
        <v>275</v>
      </c>
      <c r="E18" s="32" t="s">
        <v>276</v>
      </c>
    </row>
    <row r="19" spans="1:5" ht="27" customHeight="1" x14ac:dyDescent="0.2">
      <c r="A19" s="30" t="s">
        <v>277</v>
      </c>
      <c r="B19" s="30" t="s">
        <v>182</v>
      </c>
      <c r="C19" s="31">
        <v>120000</v>
      </c>
      <c r="D19" s="30" t="s">
        <v>183</v>
      </c>
      <c r="E19" s="32" t="s">
        <v>278</v>
      </c>
    </row>
    <row r="20" spans="1:5" ht="27" customHeight="1" x14ac:dyDescent="0.2">
      <c r="A20" s="30" t="s">
        <v>279</v>
      </c>
      <c r="B20" s="30" t="s">
        <v>176</v>
      </c>
      <c r="C20" s="36">
        <v>45</v>
      </c>
      <c r="D20" s="30" t="s">
        <v>280</v>
      </c>
      <c r="E20" s="32" t="s">
        <v>281</v>
      </c>
    </row>
    <row r="21" spans="1:5" s="23" customFormat="1" x14ac:dyDescent="0.2">
      <c r="A21" s="21" t="s">
        <v>188</v>
      </c>
      <c r="B21" s="22"/>
      <c r="C21" s="22"/>
      <c r="D21" s="22"/>
      <c r="E21" s="22"/>
    </row>
    <row r="22" spans="1:5" ht="17" x14ac:dyDescent="0.2">
      <c r="A22" s="24" t="s">
        <v>47</v>
      </c>
      <c r="B22" s="24" t="s">
        <v>123</v>
      </c>
      <c r="C22" s="24" t="s">
        <v>49</v>
      </c>
      <c r="D22" s="24" t="s">
        <v>50</v>
      </c>
      <c r="E22" s="24" t="s">
        <v>189</v>
      </c>
    </row>
    <row r="23" spans="1:5" ht="27" customHeight="1" x14ac:dyDescent="0.2">
      <c r="A23" s="30" t="s">
        <v>190</v>
      </c>
      <c r="B23" s="30" t="s">
        <v>126</v>
      </c>
      <c r="C23" s="40">
        <f>'Host system'!$C$5</f>
        <v>0.54</v>
      </c>
      <c r="D23" s="30" t="s">
        <v>89</v>
      </c>
      <c r="E23" s="32" t="s">
        <v>191</v>
      </c>
    </row>
    <row r="24" spans="1:5" ht="13.5" customHeight="1" x14ac:dyDescent="0.2">
      <c r="A24" s="30" t="s">
        <v>128</v>
      </c>
      <c r="B24" s="30" t="s">
        <v>129</v>
      </c>
      <c r="C24" s="41">
        <f>'Host system'!$C$6</f>
        <v>2.9000000000000001E-2</v>
      </c>
      <c r="D24" s="30" t="s">
        <v>58</v>
      </c>
      <c r="E24" s="32" t="s">
        <v>191</v>
      </c>
    </row>
    <row r="25" spans="1:5" ht="13.5" customHeight="1" x14ac:dyDescent="0.2">
      <c r="A25" s="30" t="s">
        <v>56</v>
      </c>
      <c r="B25" s="30" t="s">
        <v>57</v>
      </c>
      <c r="C25" s="42">
        <f>Defaults!$C$6</f>
        <v>1</v>
      </c>
      <c r="D25" s="30" t="s">
        <v>58</v>
      </c>
      <c r="E25" s="32" t="s">
        <v>192</v>
      </c>
    </row>
    <row r="26" spans="1:5" ht="13.5" customHeight="1" x14ac:dyDescent="0.2">
      <c r="A26" s="30" t="s">
        <v>282</v>
      </c>
      <c r="B26" s="30" t="s">
        <v>78</v>
      </c>
      <c r="C26" s="53">
        <f>Defaults!$C$12</f>
        <v>0.06</v>
      </c>
      <c r="D26" s="30" t="s">
        <v>58</v>
      </c>
      <c r="E26" s="32" t="s">
        <v>192</v>
      </c>
    </row>
    <row r="27" spans="1:5" ht="13.5" customHeight="1" x14ac:dyDescent="0.2">
      <c r="A27" s="30" t="s">
        <v>283</v>
      </c>
      <c r="B27" s="30" t="s">
        <v>74</v>
      </c>
      <c r="C27" s="53">
        <f>Defaults!$C$11</f>
        <v>5.0000000000000001E-3</v>
      </c>
      <c r="D27" s="30" t="s">
        <v>75</v>
      </c>
      <c r="E27" s="32" t="s">
        <v>192</v>
      </c>
    </row>
    <row r="28" spans="1:5" ht="13.5" customHeight="1" x14ac:dyDescent="0.2">
      <c r="A28" s="30" t="s">
        <v>284</v>
      </c>
      <c r="B28" s="30" t="s">
        <v>194</v>
      </c>
      <c r="C28" s="43">
        <f>Defaults!$C$8</f>
        <v>1190</v>
      </c>
      <c r="D28" s="30" t="s">
        <v>285</v>
      </c>
      <c r="E28" s="32" t="s">
        <v>192</v>
      </c>
    </row>
    <row r="29" spans="1:5" ht="13.5" customHeight="1" x14ac:dyDescent="0.2">
      <c r="A29" s="30" t="s">
        <v>286</v>
      </c>
      <c r="B29" s="30" t="s">
        <v>197</v>
      </c>
      <c r="C29" s="43">
        <f>Defaults!$C$14</f>
        <v>25</v>
      </c>
      <c r="D29" s="30" t="s">
        <v>54</v>
      </c>
      <c r="E29" s="32" t="s">
        <v>192</v>
      </c>
    </row>
    <row r="30" spans="1:5" ht="13.5" customHeight="1" x14ac:dyDescent="0.2">
      <c r="A30" s="30" t="s">
        <v>52</v>
      </c>
      <c r="B30" s="30" t="s">
        <v>198</v>
      </c>
      <c r="C30" s="43">
        <f>Defaults!$C$5</f>
        <v>15</v>
      </c>
      <c r="D30" s="30" t="s">
        <v>54</v>
      </c>
      <c r="E30" s="32" t="s">
        <v>192</v>
      </c>
    </row>
    <row r="31" spans="1:5" s="23" customFormat="1" x14ac:dyDescent="0.2">
      <c r="A31" s="21" t="s">
        <v>199</v>
      </c>
      <c r="B31" s="22"/>
      <c r="C31" s="22"/>
      <c r="D31" s="22"/>
      <c r="E31" s="22"/>
    </row>
    <row r="32" spans="1:5" ht="17" x14ac:dyDescent="0.2">
      <c r="A32" s="24" t="s">
        <v>200</v>
      </c>
      <c r="B32" s="24" t="s">
        <v>123</v>
      </c>
      <c r="C32" s="24" t="s">
        <v>49</v>
      </c>
      <c r="D32" s="24" t="s">
        <v>50</v>
      </c>
      <c r="E32" s="24" t="s">
        <v>201</v>
      </c>
    </row>
    <row r="33" spans="1:5" ht="27" customHeight="1" x14ac:dyDescent="0.2">
      <c r="A33" s="30" t="s">
        <v>287</v>
      </c>
      <c r="B33" s="30" t="s">
        <v>288</v>
      </c>
      <c r="C33" s="31">
        <v>0</v>
      </c>
      <c r="D33" s="30" t="s">
        <v>54</v>
      </c>
      <c r="E33" s="32" t="s">
        <v>289</v>
      </c>
    </row>
    <row r="34" spans="1:5" ht="27" customHeight="1" x14ac:dyDescent="0.2">
      <c r="A34" s="30" t="s">
        <v>290</v>
      </c>
      <c r="B34" s="30" t="s">
        <v>291</v>
      </c>
      <c r="C34" s="39">
        <f>IF(C33&lt;C18,C15*(1+C26)*(1-C27)^C33,0)</f>
        <v>74200</v>
      </c>
      <c r="D34" s="30" t="s">
        <v>183</v>
      </c>
      <c r="E34" s="32" t="s">
        <v>292</v>
      </c>
    </row>
    <row r="35" spans="1:5" ht="13.5" customHeight="1" x14ac:dyDescent="0.2">
      <c r="A35" s="30" t="s">
        <v>293</v>
      </c>
      <c r="B35" s="30" t="s">
        <v>294</v>
      </c>
      <c r="C35" s="39">
        <f>MAX(0,C19-C34)</f>
        <v>45800</v>
      </c>
      <c r="D35" s="30" t="s">
        <v>183</v>
      </c>
      <c r="E35" s="32" t="s">
        <v>295</v>
      </c>
    </row>
    <row r="36" spans="1:5" ht="13.5" customHeight="1" x14ac:dyDescent="0.2">
      <c r="A36" s="30" t="s">
        <v>296</v>
      </c>
      <c r="B36" s="30" t="s">
        <v>297</v>
      </c>
      <c r="C36" s="39">
        <f>C35*C23</f>
        <v>24732</v>
      </c>
      <c r="D36" s="30" t="s">
        <v>207</v>
      </c>
      <c r="E36" s="32" t="s">
        <v>298</v>
      </c>
    </row>
    <row r="37" spans="1:5" ht="13.5" customHeight="1" x14ac:dyDescent="0.2">
      <c r="A37" s="30" t="s">
        <v>209</v>
      </c>
      <c r="B37" s="30" t="s">
        <v>210</v>
      </c>
      <c r="C37" s="39">
        <f>C36</f>
        <v>24732</v>
      </c>
      <c r="D37" s="30" t="s">
        <v>207</v>
      </c>
      <c r="E37" s="32" t="s">
        <v>211</v>
      </c>
    </row>
    <row r="38" spans="1:5" ht="27" customHeight="1" x14ac:dyDescent="0.2">
      <c r="A38" s="30" t="s">
        <v>212</v>
      </c>
      <c r="B38" s="30" t="s">
        <v>213</v>
      </c>
      <c r="C38" s="39">
        <f>C37</f>
        <v>24732</v>
      </c>
      <c r="D38" s="30" t="s">
        <v>207</v>
      </c>
      <c r="E38" s="32" t="s">
        <v>214</v>
      </c>
    </row>
    <row r="39" spans="1:5" ht="13.5" customHeight="1" x14ac:dyDescent="0.2">
      <c r="A39" s="30" t="s">
        <v>215</v>
      </c>
      <c r="B39" s="30" t="s">
        <v>216</v>
      </c>
      <c r="C39" s="39">
        <f>C38*(1-C24)</f>
        <v>24014.772000000001</v>
      </c>
      <c r="D39" s="30" t="s">
        <v>207</v>
      </c>
      <c r="E39" s="32" t="s">
        <v>217</v>
      </c>
    </row>
    <row r="40" spans="1:5" ht="13.5" customHeight="1" x14ac:dyDescent="0.2">
      <c r="A40" s="30" t="s">
        <v>218</v>
      </c>
      <c r="B40" s="30" t="s">
        <v>219</v>
      </c>
      <c r="C40" s="39">
        <f>C38</f>
        <v>24732</v>
      </c>
      <c r="D40" s="30" t="s">
        <v>207</v>
      </c>
      <c r="E40" s="32" t="s">
        <v>220</v>
      </c>
    </row>
    <row r="41" spans="1:5" ht="13.5" customHeight="1" x14ac:dyDescent="0.2">
      <c r="A41" s="44" t="s">
        <v>221</v>
      </c>
      <c r="B41" s="44" t="s">
        <v>222</v>
      </c>
      <c r="C41" s="45">
        <f>MIN(C39,C40)*C25</f>
        <v>24014.772000000001</v>
      </c>
      <c r="D41" s="44" t="s">
        <v>207</v>
      </c>
      <c r="E41" s="46" t="s">
        <v>223</v>
      </c>
    </row>
    <row r="42" spans="1:5" ht="27" customHeight="1" x14ac:dyDescent="0.2">
      <c r="A42" s="30" t="s">
        <v>224</v>
      </c>
      <c r="B42" s="30" t="s">
        <v>225</v>
      </c>
      <c r="C42" s="39">
        <f>C40-C41</f>
        <v>717.22799999999916</v>
      </c>
      <c r="D42" s="30" t="s">
        <v>207</v>
      </c>
      <c r="E42" s="32" t="s">
        <v>226</v>
      </c>
    </row>
    <row r="43" spans="1:5" s="23" customFormat="1" x14ac:dyDescent="0.2">
      <c r="A43" s="21" t="s">
        <v>227</v>
      </c>
      <c r="B43" s="22"/>
      <c r="C43" s="22"/>
      <c r="D43" s="22"/>
      <c r="E43" s="22"/>
    </row>
    <row r="44" spans="1:5" ht="17" x14ac:dyDescent="0.2">
      <c r="A44" s="24" t="s">
        <v>228</v>
      </c>
      <c r="B44" s="24" t="s">
        <v>123</v>
      </c>
      <c r="C44" s="24" t="s">
        <v>49</v>
      </c>
      <c r="D44" s="24" t="s">
        <v>50</v>
      </c>
      <c r="E44" s="24" t="s">
        <v>201</v>
      </c>
    </row>
    <row r="45" spans="1:5" ht="13.5" customHeight="1" x14ac:dyDescent="0.2">
      <c r="A45" s="30" t="s">
        <v>229</v>
      </c>
      <c r="B45" s="30" t="s">
        <v>230</v>
      </c>
      <c r="C45" s="31">
        <v>0</v>
      </c>
      <c r="D45" s="30" t="s">
        <v>207</v>
      </c>
      <c r="E45" s="32" t="s">
        <v>299</v>
      </c>
    </row>
    <row r="46" spans="1:5" ht="13.5" customHeight="1" x14ac:dyDescent="0.2">
      <c r="A46" s="30" t="s">
        <v>300</v>
      </c>
      <c r="B46" s="30" t="s">
        <v>236</v>
      </c>
      <c r="C46" s="39">
        <f>C20*C28/MIN(C29,C30)</f>
        <v>3570</v>
      </c>
      <c r="D46" s="30" t="s">
        <v>207</v>
      </c>
      <c r="E46" s="32" t="s">
        <v>301</v>
      </c>
    </row>
    <row r="47" spans="1:5" ht="13.5" customHeight="1" x14ac:dyDescent="0.2">
      <c r="A47" s="30" t="s">
        <v>302</v>
      </c>
      <c r="B47" s="30" t="s">
        <v>303</v>
      </c>
      <c r="C47" s="31">
        <v>0</v>
      </c>
      <c r="D47" s="30" t="s">
        <v>207</v>
      </c>
      <c r="E47" s="32" t="s">
        <v>304</v>
      </c>
    </row>
    <row r="48" spans="1:5" ht="13.5" customHeight="1" x14ac:dyDescent="0.2">
      <c r="A48" s="30" t="s">
        <v>241</v>
      </c>
      <c r="B48" s="30" t="s">
        <v>242</v>
      </c>
      <c r="C48" s="39">
        <f>C46+C47</f>
        <v>3570</v>
      </c>
      <c r="D48" s="30" t="s">
        <v>207</v>
      </c>
      <c r="E48" s="32" t="s">
        <v>243</v>
      </c>
    </row>
    <row r="49" spans="1:5" ht="13.5" customHeight="1" x14ac:dyDescent="0.2">
      <c r="A49" s="30" t="s">
        <v>244</v>
      </c>
      <c r="B49" s="30" t="s">
        <v>245</v>
      </c>
      <c r="C49" s="39">
        <f>C41-C45-C48</f>
        <v>20444.772000000001</v>
      </c>
      <c r="D49" s="30" t="s">
        <v>207</v>
      </c>
      <c r="E49" s="32" t="s">
        <v>305</v>
      </c>
    </row>
    <row r="50" spans="1:5" ht="13.5" customHeight="1" x14ac:dyDescent="0.2">
      <c r="A50" s="44" t="s">
        <v>247</v>
      </c>
      <c r="B50" s="44" t="s">
        <v>248</v>
      </c>
      <c r="C50" s="45">
        <f>MAX(0,C49)</f>
        <v>20444.772000000001</v>
      </c>
      <c r="D50" s="44" t="s">
        <v>207</v>
      </c>
      <c r="E50" s="46" t="s">
        <v>306</v>
      </c>
    </row>
    <row r="52" spans="1:5" ht="59.5" customHeight="1" x14ac:dyDescent="0.2">
      <c r="A52" s="96" t="s">
        <v>307</v>
      </c>
      <c r="B52" s="96"/>
      <c r="C52" s="96"/>
      <c r="D52" s="96"/>
      <c r="E52" s="96"/>
    </row>
  </sheetData>
  <mergeCells count="3">
    <mergeCell ref="A4:E4"/>
    <mergeCell ref="A5:E5"/>
    <mergeCell ref="A52:E52"/>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B96AA-B59C-4716-9049-9A45532336C3}">
  <sheetPr>
    <pageSetUpPr fitToPage="1"/>
  </sheetPr>
  <dimension ref="A1:L71"/>
  <sheetViews>
    <sheetView showGridLines="0" topLeftCell="B1" zoomScaleNormal="100" workbookViewId="0">
      <selection activeCell="B1" sqref="A1:XFD1"/>
    </sheetView>
  </sheetViews>
  <sheetFormatPr baseColWidth="10" defaultColWidth="8.6640625" defaultRowHeight="16" x14ac:dyDescent="0.2"/>
  <cols>
    <col min="1" max="1" width="34" style="19" customWidth="1"/>
    <col min="2" max="2" width="16" style="19" customWidth="1"/>
    <col min="3" max="9" width="14" style="19" customWidth="1"/>
    <col min="10" max="12" width="16" style="19" customWidth="1"/>
    <col min="13" max="16384" width="8.6640625" style="19"/>
  </cols>
  <sheetData>
    <row r="1" spans="1:12" s="90" customFormat="1" ht="25" x14ac:dyDescent="0.25">
      <c r="A1" s="89" t="s">
        <v>308</v>
      </c>
    </row>
    <row r="2" spans="1:12" x14ac:dyDescent="0.2">
      <c r="A2" s="20" t="s">
        <v>309</v>
      </c>
    </row>
    <row r="4" spans="1:12" ht="67.5" customHeight="1" x14ac:dyDescent="0.2">
      <c r="A4" s="96" t="s">
        <v>310</v>
      </c>
      <c r="B4" s="96"/>
      <c r="C4" s="96"/>
      <c r="D4" s="96"/>
      <c r="E4" s="96"/>
      <c r="F4" s="96"/>
      <c r="G4" s="96"/>
      <c r="H4" s="96"/>
      <c r="I4" s="96"/>
      <c r="J4" s="96"/>
      <c r="K4" s="96"/>
      <c r="L4" s="96"/>
    </row>
    <row r="5" spans="1:12" ht="32" customHeight="1" x14ac:dyDescent="0.2">
      <c r="A5" s="96" t="s">
        <v>311</v>
      </c>
      <c r="B5" s="96"/>
      <c r="C5" s="96"/>
      <c r="D5" s="96"/>
      <c r="E5" s="96"/>
      <c r="F5" s="96"/>
      <c r="G5" s="96"/>
      <c r="H5" s="96"/>
      <c r="I5" s="96"/>
      <c r="J5" s="96"/>
      <c r="K5" s="96"/>
      <c r="L5" s="96"/>
    </row>
    <row r="6" spans="1:12" s="23" customFormat="1" x14ac:dyDescent="0.2">
      <c r="A6" s="21" t="s">
        <v>171</v>
      </c>
      <c r="B6" s="22"/>
      <c r="C6" s="22"/>
      <c r="D6" s="22"/>
      <c r="E6" s="22"/>
      <c r="F6" s="22"/>
      <c r="G6" s="22"/>
      <c r="H6" s="22"/>
      <c r="I6" s="22"/>
      <c r="J6" s="22"/>
      <c r="K6" s="22"/>
      <c r="L6" s="22"/>
    </row>
    <row r="7" spans="1:12" ht="15" customHeight="1" x14ac:dyDescent="0.2">
      <c r="A7" s="24" t="s">
        <v>47</v>
      </c>
      <c r="B7" s="24" t="s">
        <v>123</v>
      </c>
      <c r="C7" s="24" t="s">
        <v>49</v>
      </c>
      <c r="D7" s="24" t="s">
        <v>50</v>
      </c>
      <c r="E7" s="104" t="s">
        <v>124</v>
      </c>
      <c r="F7" s="104"/>
      <c r="G7" s="104"/>
      <c r="H7" s="104"/>
      <c r="I7" s="104"/>
      <c r="J7" s="104"/>
      <c r="K7" s="104"/>
      <c r="L7" s="104"/>
    </row>
    <row r="8" spans="1:12" ht="13.5" customHeight="1" x14ac:dyDescent="0.2">
      <c r="A8" s="30" t="s">
        <v>312</v>
      </c>
      <c r="B8" s="30" t="s">
        <v>313</v>
      </c>
      <c r="C8" s="36">
        <v>50</v>
      </c>
      <c r="D8" s="30" t="s">
        <v>183</v>
      </c>
      <c r="E8" s="103" t="s">
        <v>314</v>
      </c>
      <c r="F8" s="103"/>
      <c r="G8" s="103"/>
      <c r="H8" s="103"/>
      <c r="I8" s="103"/>
      <c r="J8" s="103"/>
      <c r="K8" s="103"/>
      <c r="L8" s="103"/>
    </row>
    <row r="9" spans="1:12" ht="13.5" customHeight="1" x14ac:dyDescent="0.2">
      <c r="A9" s="30" t="s">
        <v>315</v>
      </c>
      <c r="B9" s="30" t="s">
        <v>316</v>
      </c>
      <c r="C9" s="34">
        <v>0.85</v>
      </c>
      <c r="D9" s="30" t="s">
        <v>58</v>
      </c>
      <c r="E9" s="103" t="s">
        <v>317</v>
      </c>
      <c r="F9" s="103"/>
      <c r="G9" s="103"/>
      <c r="H9" s="103"/>
      <c r="I9" s="103"/>
      <c r="J9" s="103"/>
      <c r="K9" s="103"/>
      <c r="L9" s="103"/>
    </row>
    <row r="10" spans="1:12" ht="13.5" customHeight="1" x14ac:dyDescent="0.2">
      <c r="A10" s="30" t="s">
        <v>318</v>
      </c>
      <c r="B10" s="30" t="s">
        <v>106</v>
      </c>
      <c r="C10" s="31">
        <v>365</v>
      </c>
      <c r="D10" s="30" t="s">
        <v>319</v>
      </c>
      <c r="E10" s="103" t="s">
        <v>320</v>
      </c>
      <c r="F10" s="103"/>
      <c r="G10" s="103"/>
      <c r="H10" s="103"/>
      <c r="I10" s="103"/>
      <c r="J10" s="103"/>
      <c r="K10" s="103"/>
      <c r="L10" s="103"/>
    </row>
    <row r="11" spans="1:12" ht="13.5" customHeight="1" x14ac:dyDescent="0.2">
      <c r="A11" s="30" t="s">
        <v>321</v>
      </c>
      <c r="B11" s="30" t="s">
        <v>322</v>
      </c>
      <c r="C11" s="31">
        <v>10</v>
      </c>
      <c r="D11" s="30" t="s">
        <v>323</v>
      </c>
      <c r="E11" s="103" t="s">
        <v>324</v>
      </c>
      <c r="F11" s="103"/>
      <c r="G11" s="103"/>
      <c r="H11" s="103"/>
      <c r="I11" s="103"/>
      <c r="J11" s="103"/>
      <c r="K11" s="103"/>
      <c r="L11" s="103"/>
    </row>
    <row r="12" spans="1:12" ht="13.5" customHeight="1" x14ac:dyDescent="0.2">
      <c r="A12" s="30" t="s">
        <v>325</v>
      </c>
      <c r="B12" s="30" t="s">
        <v>326</v>
      </c>
      <c r="C12" s="36">
        <v>15</v>
      </c>
      <c r="D12" s="30" t="s">
        <v>183</v>
      </c>
      <c r="E12" s="103" t="s">
        <v>327</v>
      </c>
      <c r="F12" s="103"/>
      <c r="G12" s="103"/>
      <c r="H12" s="103"/>
      <c r="I12" s="103"/>
      <c r="J12" s="103"/>
      <c r="K12" s="103"/>
      <c r="L12" s="103"/>
    </row>
    <row r="13" spans="1:12" ht="13.5" customHeight="1" x14ac:dyDescent="0.2">
      <c r="A13" s="30" t="s">
        <v>328</v>
      </c>
      <c r="B13" s="30" t="s">
        <v>329</v>
      </c>
      <c r="C13" s="31">
        <v>0</v>
      </c>
      <c r="D13" s="30" t="s">
        <v>207</v>
      </c>
      <c r="E13" s="103" t="s">
        <v>330</v>
      </c>
      <c r="F13" s="103"/>
      <c r="G13" s="103"/>
      <c r="H13" s="103"/>
      <c r="I13" s="103"/>
      <c r="J13" s="103"/>
      <c r="K13" s="103"/>
      <c r="L13" s="103"/>
    </row>
    <row r="14" spans="1:12" s="23" customFormat="1" x14ac:dyDescent="0.2">
      <c r="A14" s="21" t="s">
        <v>188</v>
      </c>
      <c r="B14" s="22"/>
      <c r="C14" s="22"/>
      <c r="D14" s="22"/>
      <c r="E14" s="22"/>
    </row>
    <row r="15" spans="1:12" ht="15" customHeight="1" x14ac:dyDescent="0.2">
      <c r="A15" s="24" t="s">
        <v>47</v>
      </c>
      <c r="B15" s="24" t="s">
        <v>123</v>
      </c>
      <c r="C15" s="24" t="s">
        <v>49</v>
      </c>
      <c r="D15" s="24" t="s">
        <v>50</v>
      </c>
      <c r="E15" s="104" t="s">
        <v>189</v>
      </c>
      <c r="F15" s="104"/>
      <c r="G15" s="104"/>
      <c r="H15" s="104"/>
      <c r="I15" s="104"/>
      <c r="J15" s="104"/>
      <c r="K15" s="104"/>
      <c r="L15" s="104"/>
    </row>
    <row r="16" spans="1:12" ht="13.5" customHeight="1" x14ac:dyDescent="0.2">
      <c r="A16" s="30" t="s">
        <v>128</v>
      </c>
      <c r="B16" s="30" t="s">
        <v>129</v>
      </c>
      <c r="C16" s="41">
        <f>'Host system'!$C$6</f>
        <v>2.9000000000000001E-2</v>
      </c>
      <c r="D16" s="30" t="s">
        <v>58</v>
      </c>
      <c r="E16" s="103" t="s">
        <v>191</v>
      </c>
      <c r="F16" s="103"/>
      <c r="G16" s="103"/>
      <c r="H16" s="103"/>
      <c r="I16" s="103"/>
      <c r="J16" s="103"/>
      <c r="K16" s="103"/>
      <c r="L16" s="103"/>
    </row>
    <row r="17" spans="1:12" ht="13.5" customHeight="1" x14ac:dyDescent="0.2">
      <c r="A17" s="30" t="s">
        <v>331</v>
      </c>
      <c r="B17" s="30" t="s">
        <v>332</v>
      </c>
      <c r="C17" s="43">
        <f>Defaults!$C$9</f>
        <v>99</v>
      </c>
      <c r="D17" s="30" t="s">
        <v>68</v>
      </c>
      <c r="E17" s="103" t="s">
        <v>192</v>
      </c>
      <c r="F17" s="103"/>
      <c r="G17" s="103"/>
      <c r="H17" s="103"/>
      <c r="I17" s="103"/>
      <c r="J17" s="103"/>
      <c r="K17" s="103"/>
      <c r="L17" s="103"/>
    </row>
    <row r="18" spans="1:12" ht="13.5" customHeight="1" x14ac:dyDescent="0.2">
      <c r="A18" s="30" t="s">
        <v>333</v>
      </c>
      <c r="B18" s="30" t="s">
        <v>334</v>
      </c>
      <c r="C18" s="43">
        <f>Defaults!$C$10</f>
        <v>69</v>
      </c>
      <c r="D18" s="30" t="s">
        <v>68</v>
      </c>
      <c r="E18" s="103" t="s">
        <v>192</v>
      </c>
      <c r="F18" s="103"/>
      <c r="G18" s="103"/>
      <c r="H18" s="103"/>
      <c r="I18" s="103"/>
      <c r="J18" s="103"/>
      <c r="K18" s="103"/>
      <c r="L18" s="103"/>
    </row>
    <row r="19" spans="1:12" ht="13.5" customHeight="1" x14ac:dyDescent="0.2">
      <c r="A19" s="30" t="s">
        <v>335</v>
      </c>
      <c r="B19" s="30" t="s">
        <v>336</v>
      </c>
      <c r="C19" s="43">
        <f>Defaults!$C$15</f>
        <v>15</v>
      </c>
      <c r="D19" s="30" t="s">
        <v>54</v>
      </c>
      <c r="E19" s="103" t="s">
        <v>192</v>
      </c>
      <c r="F19" s="103"/>
      <c r="G19" s="103"/>
      <c r="H19" s="103"/>
      <c r="I19" s="103"/>
      <c r="J19" s="103"/>
      <c r="K19" s="103"/>
      <c r="L19" s="103"/>
    </row>
    <row r="20" spans="1:12" ht="13.5" customHeight="1" x14ac:dyDescent="0.2">
      <c r="A20" s="30" t="s">
        <v>52</v>
      </c>
      <c r="B20" s="30" t="s">
        <v>198</v>
      </c>
      <c r="C20" s="43">
        <f>Defaults!$C$5</f>
        <v>15</v>
      </c>
      <c r="D20" s="30" t="s">
        <v>54</v>
      </c>
      <c r="E20" s="103" t="s">
        <v>192</v>
      </c>
      <c r="F20" s="103"/>
      <c r="G20" s="103"/>
      <c r="H20" s="103"/>
      <c r="I20" s="103"/>
      <c r="J20" s="103"/>
      <c r="K20" s="103"/>
      <c r="L20" s="103"/>
    </row>
    <row r="22" spans="1:12" s="23" customFormat="1" x14ac:dyDescent="0.2">
      <c r="A22" s="21" t="s">
        <v>337</v>
      </c>
      <c r="B22" s="22"/>
      <c r="C22" s="22"/>
      <c r="D22" s="22"/>
      <c r="E22" s="22"/>
      <c r="F22" s="22"/>
      <c r="G22" s="22"/>
      <c r="H22" s="22"/>
      <c r="I22" s="22"/>
      <c r="J22" s="22"/>
      <c r="K22" s="22"/>
      <c r="L22" s="22"/>
    </row>
    <row r="23" spans="1:12" ht="119" x14ac:dyDescent="0.2">
      <c r="A23" s="24" t="s">
        <v>141</v>
      </c>
      <c r="B23" s="24" t="s">
        <v>338</v>
      </c>
      <c r="C23" s="24" t="s">
        <v>339</v>
      </c>
      <c r="D23" s="24" t="s">
        <v>340</v>
      </c>
      <c r="E23" s="24" t="s">
        <v>341</v>
      </c>
      <c r="F23" s="24" t="s">
        <v>342</v>
      </c>
      <c r="G23" s="24" t="s">
        <v>343</v>
      </c>
      <c r="H23" s="24" t="s">
        <v>344</v>
      </c>
      <c r="I23" s="24" t="s">
        <v>345</v>
      </c>
      <c r="J23" s="24" t="s">
        <v>346</v>
      </c>
      <c r="K23" s="24" t="s">
        <v>347</v>
      </c>
      <c r="L23" s="24" t="s">
        <v>348</v>
      </c>
    </row>
    <row r="24" spans="1:12" x14ac:dyDescent="0.2">
      <c r="A24" s="47" t="s">
        <v>142</v>
      </c>
      <c r="B24" s="54">
        <f>'Host system'!$C$13</f>
        <v>0.7</v>
      </c>
      <c r="C24" s="55">
        <v>0</v>
      </c>
      <c r="D24" s="55">
        <v>0</v>
      </c>
      <c r="E24" s="56">
        <f>0</f>
        <v>0</v>
      </c>
      <c r="F24" s="57">
        <f>0</f>
        <v>0</v>
      </c>
      <c r="G24" s="56">
        <f t="shared" ref="G24:G47" si="0">E24+C24</f>
        <v>0</v>
      </c>
      <c r="H24" s="57">
        <f t="shared" ref="H24:H47" si="1">IF(G24=0,F24,(E24*F24+C24*B24)/G24)</f>
        <v>0</v>
      </c>
      <c r="I24" s="56">
        <f t="shared" ref="I24:I47" si="2">G24-D24/$C$9</f>
        <v>0</v>
      </c>
      <c r="J24" s="56">
        <f t="shared" ref="J24:J47" si="3">D24*B24*(1-$C$16)</f>
        <v>0</v>
      </c>
      <c r="K24" s="56">
        <f t="shared" ref="K24:K47" si="4">D24*H24/$C$9</f>
        <v>0</v>
      </c>
      <c r="L24" s="56">
        <f t="shared" ref="L24:L47" si="5">J24-K24</f>
        <v>0</v>
      </c>
    </row>
    <row r="25" spans="1:12" x14ac:dyDescent="0.2">
      <c r="A25" s="47" t="s">
        <v>143</v>
      </c>
      <c r="B25" s="54">
        <f>'Host system'!$C$14</f>
        <v>0.7</v>
      </c>
      <c r="C25" s="55">
        <v>0</v>
      </c>
      <c r="D25" s="55">
        <v>0</v>
      </c>
      <c r="E25" s="56">
        <f t="shared" ref="E25:E47" si="6">I24</f>
        <v>0</v>
      </c>
      <c r="F25" s="57">
        <f t="shared" ref="F25:F47" si="7">H24</f>
        <v>0</v>
      </c>
      <c r="G25" s="56">
        <f t="shared" si="0"/>
        <v>0</v>
      </c>
      <c r="H25" s="57">
        <f t="shared" si="1"/>
        <v>0</v>
      </c>
      <c r="I25" s="56">
        <f t="shared" si="2"/>
        <v>0</v>
      </c>
      <c r="J25" s="56">
        <f t="shared" si="3"/>
        <v>0</v>
      </c>
      <c r="K25" s="56">
        <f t="shared" si="4"/>
        <v>0</v>
      </c>
      <c r="L25" s="56">
        <f t="shared" si="5"/>
        <v>0</v>
      </c>
    </row>
    <row r="26" spans="1:12" x14ac:dyDescent="0.2">
      <c r="A26" s="47" t="s">
        <v>144</v>
      </c>
      <c r="B26" s="54">
        <f>'Host system'!$C$15</f>
        <v>0.7</v>
      </c>
      <c r="C26" s="55">
        <v>0</v>
      </c>
      <c r="D26" s="55">
        <v>0</v>
      </c>
      <c r="E26" s="56">
        <f t="shared" si="6"/>
        <v>0</v>
      </c>
      <c r="F26" s="57">
        <f t="shared" si="7"/>
        <v>0</v>
      </c>
      <c r="G26" s="56">
        <f t="shared" si="0"/>
        <v>0</v>
      </c>
      <c r="H26" s="57">
        <f t="shared" si="1"/>
        <v>0</v>
      </c>
      <c r="I26" s="56">
        <f t="shared" si="2"/>
        <v>0</v>
      </c>
      <c r="J26" s="56">
        <f t="shared" si="3"/>
        <v>0</v>
      </c>
      <c r="K26" s="56">
        <f t="shared" si="4"/>
        <v>0</v>
      </c>
      <c r="L26" s="56">
        <f t="shared" si="5"/>
        <v>0</v>
      </c>
    </row>
    <row r="27" spans="1:12" x14ac:dyDescent="0.2">
      <c r="A27" s="47" t="s">
        <v>145</v>
      </c>
      <c r="B27" s="54">
        <f>'Host system'!$C$16</f>
        <v>0.7</v>
      </c>
      <c r="C27" s="55">
        <v>0</v>
      </c>
      <c r="D27" s="55">
        <v>0</v>
      </c>
      <c r="E27" s="56">
        <f t="shared" si="6"/>
        <v>0</v>
      </c>
      <c r="F27" s="57">
        <f t="shared" si="7"/>
        <v>0</v>
      </c>
      <c r="G27" s="56">
        <f t="shared" si="0"/>
        <v>0</v>
      </c>
      <c r="H27" s="57">
        <f t="shared" si="1"/>
        <v>0</v>
      </c>
      <c r="I27" s="56">
        <f t="shared" si="2"/>
        <v>0</v>
      </c>
      <c r="J27" s="56">
        <f t="shared" si="3"/>
        <v>0</v>
      </c>
      <c r="K27" s="56">
        <f t="shared" si="4"/>
        <v>0</v>
      </c>
      <c r="L27" s="56">
        <f t="shared" si="5"/>
        <v>0</v>
      </c>
    </row>
    <row r="28" spans="1:12" x14ac:dyDescent="0.2">
      <c r="A28" s="47" t="s">
        <v>146</v>
      </c>
      <c r="B28" s="54">
        <f>'Host system'!$C$17</f>
        <v>0.7</v>
      </c>
      <c r="C28" s="55">
        <v>0</v>
      </c>
      <c r="D28" s="55">
        <v>0</v>
      </c>
      <c r="E28" s="56">
        <f t="shared" si="6"/>
        <v>0</v>
      </c>
      <c r="F28" s="57">
        <f t="shared" si="7"/>
        <v>0</v>
      </c>
      <c r="G28" s="56">
        <f t="shared" si="0"/>
        <v>0</v>
      </c>
      <c r="H28" s="57">
        <f t="shared" si="1"/>
        <v>0</v>
      </c>
      <c r="I28" s="56">
        <f t="shared" si="2"/>
        <v>0</v>
      </c>
      <c r="J28" s="56">
        <f t="shared" si="3"/>
        <v>0</v>
      </c>
      <c r="K28" s="56">
        <f t="shared" si="4"/>
        <v>0</v>
      </c>
      <c r="L28" s="56">
        <f t="shared" si="5"/>
        <v>0</v>
      </c>
    </row>
    <row r="29" spans="1:12" x14ac:dyDescent="0.2">
      <c r="A29" s="47" t="s">
        <v>147</v>
      </c>
      <c r="B29" s="54">
        <f>'Host system'!$C$18</f>
        <v>0.7</v>
      </c>
      <c r="C29" s="55">
        <v>0</v>
      </c>
      <c r="D29" s="55">
        <v>0</v>
      </c>
      <c r="E29" s="56">
        <f t="shared" si="6"/>
        <v>0</v>
      </c>
      <c r="F29" s="57">
        <f t="shared" si="7"/>
        <v>0</v>
      </c>
      <c r="G29" s="56">
        <f t="shared" si="0"/>
        <v>0</v>
      </c>
      <c r="H29" s="57">
        <f t="shared" si="1"/>
        <v>0</v>
      </c>
      <c r="I29" s="56">
        <f t="shared" si="2"/>
        <v>0</v>
      </c>
      <c r="J29" s="56">
        <f t="shared" si="3"/>
        <v>0</v>
      </c>
      <c r="K29" s="56">
        <f t="shared" si="4"/>
        <v>0</v>
      </c>
      <c r="L29" s="56">
        <f t="shared" si="5"/>
        <v>0</v>
      </c>
    </row>
    <row r="30" spans="1:12" x14ac:dyDescent="0.2">
      <c r="A30" s="47" t="s">
        <v>148</v>
      </c>
      <c r="B30" s="54">
        <f>'Host system'!$C$19</f>
        <v>0.65</v>
      </c>
      <c r="C30" s="55">
        <v>0</v>
      </c>
      <c r="D30" s="55">
        <v>0</v>
      </c>
      <c r="E30" s="56">
        <f t="shared" si="6"/>
        <v>0</v>
      </c>
      <c r="F30" s="57">
        <f t="shared" si="7"/>
        <v>0</v>
      </c>
      <c r="G30" s="56">
        <f t="shared" si="0"/>
        <v>0</v>
      </c>
      <c r="H30" s="57">
        <f t="shared" si="1"/>
        <v>0</v>
      </c>
      <c r="I30" s="56">
        <f t="shared" si="2"/>
        <v>0</v>
      </c>
      <c r="J30" s="56">
        <f t="shared" si="3"/>
        <v>0</v>
      </c>
      <c r="K30" s="56">
        <f t="shared" si="4"/>
        <v>0</v>
      </c>
      <c r="L30" s="56">
        <f t="shared" si="5"/>
        <v>0</v>
      </c>
    </row>
    <row r="31" spans="1:12" x14ac:dyDescent="0.2">
      <c r="A31" s="47" t="s">
        <v>149</v>
      </c>
      <c r="B31" s="54">
        <f>'Host system'!$C$20</f>
        <v>0.65</v>
      </c>
      <c r="C31" s="55">
        <v>0</v>
      </c>
      <c r="D31" s="55">
        <v>0</v>
      </c>
      <c r="E31" s="56">
        <f t="shared" si="6"/>
        <v>0</v>
      </c>
      <c r="F31" s="57">
        <f t="shared" si="7"/>
        <v>0</v>
      </c>
      <c r="G31" s="56">
        <f t="shared" si="0"/>
        <v>0</v>
      </c>
      <c r="H31" s="57">
        <f t="shared" si="1"/>
        <v>0</v>
      </c>
      <c r="I31" s="56">
        <f t="shared" si="2"/>
        <v>0</v>
      </c>
      <c r="J31" s="56">
        <f t="shared" si="3"/>
        <v>0</v>
      </c>
      <c r="K31" s="56">
        <f t="shared" si="4"/>
        <v>0</v>
      </c>
      <c r="L31" s="56">
        <f t="shared" si="5"/>
        <v>0</v>
      </c>
    </row>
    <row r="32" spans="1:12" x14ac:dyDescent="0.2">
      <c r="A32" s="47" t="s">
        <v>150</v>
      </c>
      <c r="B32" s="54">
        <f>'Host system'!$C$21</f>
        <v>0.6</v>
      </c>
      <c r="C32" s="55">
        <v>0</v>
      </c>
      <c r="D32" s="55">
        <v>0</v>
      </c>
      <c r="E32" s="56">
        <f t="shared" si="6"/>
        <v>0</v>
      </c>
      <c r="F32" s="57">
        <f t="shared" si="7"/>
        <v>0</v>
      </c>
      <c r="G32" s="56">
        <f t="shared" si="0"/>
        <v>0</v>
      </c>
      <c r="H32" s="57">
        <f t="shared" si="1"/>
        <v>0</v>
      </c>
      <c r="I32" s="56">
        <f t="shared" si="2"/>
        <v>0</v>
      </c>
      <c r="J32" s="56">
        <f t="shared" si="3"/>
        <v>0</v>
      </c>
      <c r="K32" s="56">
        <f t="shared" si="4"/>
        <v>0</v>
      </c>
      <c r="L32" s="56">
        <f t="shared" si="5"/>
        <v>0</v>
      </c>
    </row>
    <row r="33" spans="1:12" x14ac:dyDescent="0.2">
      <c r="A33" s="47" t="s">
        <v>151</v>
      </c>
      <c r="B33" s="54">
        <f>'Host system'!$C$22</f>
        <v>0.55000000000000004</v>
      </c>
      <c r="C33" s="55">
        <v>0</v>
      </c>
      <c r="D33" s="55">
        <v>0</v>
      </c>
      <c r="E33" s="56">
        <f t="shared" si="6"/>
        <v>0</v>
      </c>
      <c r="F33" s="57">
        <f t="shared" si="7"/>
        <v>0</v>
      </c>
      <c r="G33" s="56">
        <f t="shared" si="0"/>
        <v>0</v>
      </c>
      <c r="H33" s="57">
        <f t="shared" si="1"/>
        <v>0</v>
      </c>
      <c r="I33" s="56">
        <f t="shared" si="2"/>
        <v>0</v>
      </c>
      <c r="J33" s="56">
        <f t="shared" si="3"/>
        <v>0</v>
      </c>
      <c r="K33" s="56">
        <f t="shared" si="4"/>
        <v>0</v>
      </c>
      <c r="L33" s="56">
        <f t="shared" si="5"/>
        <v>0</v>
      </c>
    </row>
    <row r="34" spans="1:12" x14ac:dyDescent="0.2">
      <c r="A34" s="47" t="s">
        <v>152</v>
      </c>
      <c r="B34" s="54">
        <f>'Host system'!$C$23</f>
        <v>0.4</v>
      </c>
      <c r="C34" s="55">
        <f>$C$8/$C$9/4</f>
        <v>14.705882352941178</v>
      </c>
      <c r="D34" s="55">
        <v>0</v>
      </c>
      <c r="E34" s="56">
        <f t="shared" si="6"/>
        <v>0</v>
      </c>
      <c r="F34" s="57">
        <f t="shared" si="7"/>
        <v>0</v>
      </c>
      <c r="G34" s="56">
        <f t="shared" si="0"/>
        <v>14.705882352941178</v>
      </c>
      <c r="H34" s="57">
        <f t="shared" si="1"/>
        <v>0.4</v>
      </c>
      <c r="I34" s="56">
        <f t="shared" si="2"/>
        <v>14.705882352941178</v>
      </c>
      <c r="J34" s="56">
        <f t="shared" si="3"/>
        <v>0</v>
      </c>
      <c r="K34" s="56">
        <f t="shared" si="4"/>
        <v>0</v>
      </c>
      <c r="L34" s="56">
        <f t="shared" si="5"/>
        <v>0</v>
      </c>
    </row>
    <row r="35" spans="1:12" x14ac:dyDescent="0.2">
      <c r="A35" s="47" t="s">
        <v>154</v>
      </c>
      <c r="B35" s="54">
        <f>'Host system'!$C$24</f>
        <v>0.4</v>
      </c>
      <c r="C35" s="55">
        <f>$C$8/$C$9/4</f>
        <v>14.705882352941178</v>
      </c>
      <c r="D35" s="55">
        <v>0</v>
      </c>
      <c r="E35" s="56">
        <f t="shared" si="6"/>
        <v>14.705882352941178</v>
      </c>
      <c r="F35" s="57">
        <f t="shared" si="7"/>
        <v>0.4</v>
      </c>
      <c r="G35" s="56">
        <f t="shared" si="0"/>
        <v>29.411764705882355</v>
      </c>
      <c r="H35" s="57">
        <f t="shared" si="1"/>
        <v>0.4</v>
      </c>
      <c r="I35" s="56">
        <f t="shared" si="2"/>
        <v>29.411764705882355</v>
      </c>
      <c r="J35" s="56">
        <f t="shared" si="3"/>
        <v>0</v>
      </c>
      <c r="K35" s="56">
        <f t="shared" si="4"/>
        <v>0</v>
      </c>
      <c r="L35" s="56">
        <f t="shared" si="5"/>
        <v>0</v>
      </c>
    </row>
    <row r="36" spans="1:12" x14ac:dyDescent="0.2">
      <c r="A36" s="47" t="s">
        <v>155</v>
      </c>
      <c r="B36" s="54">
        <f>'Host system'!$C$25</f>
        <v>0.4</v>
      </c>
      <c r="C36" s="55">
        <f>$C$8/$C$9/4</f>
        <v>14.705882352941178</v>
      </c>
      <c r="D36" s="55">
        <v>0</v>
      </c>
      <c r="E36" s="56">
        <f t="shared" si="6"/>
        <v>29.411764705882355</v>
      </c>
      <c r="F36" s="57">
        <f t="shared" si="7"/>
        <v>0.4</v>
      </c>
      <c r="G36" s="56">
        <f t="shared" si="0"/>
        <v>44.117647058823536</v>
      </c>
      <c r="H36" s="57">
        <f t="shared" si="1"/>
        <v>0.39999999999999997</v>
      </c>
      <c r="I36" s="56">
        <f t="shared" si="2"/>
        <v>44.117647058823536</v>
      </c>
      <c r="J36" s="56">
        <f t="shared" si="3"/>
        <v>0</v>
      </c>
      <c r="K36" s="56">
        <f t="shared" si="4"/>
        <v>0</v>
      </c>
      <c r="L36" s="56">
        <f t="shared" si="5"/>
        <v>0</v>
      </c>
    </row>
    <row r="37" spans="1:12" x14ac:dyDescent="0.2">
      <c r="A37" s="47" t="s">
        <v>156</v>
      </c>
      <c r="B37" s="54">
        <f>'Host system'!$C$26</f>
        <v>0.4</v>
      </c>
      <c r="C37" s="55">
        <f>$C$8/$C$9/4</f>
        <v>14.705882352941178</v>
      </c>
      <c r="D37" s="55">
        <v>0</v>
      </c>
      <c r="E37" s="56">
        <f t="shared" si="6"/>
        <v>44.117647058823536</v>
      </c>
      <c r="F37" s="57">
        <f t="shared" si="7"/>
        <v>0.39999999999999997</v>
      </c>
      <c r="G37" s="56">
        <f t="shared" si="0"/>
        <v>58.82352941176471</v>
      </c>
      <c r="H37" s="57">
        <f t="shared" si="1"/>
        <v>0.4</v>
      </c>
      <c r="I37" s="56">
        <f t="shared" si="2"/>
        <v>58.82352941176471</v>
      </c>
      <c r="J37" s="56">
        <f t="shared" si="3"/>
        <v>0</v>
      </c>
      <c r="K37" s="56">
        <f t="shared" si="4"/>
        <v>0</v>
      </c>
      <c r="L37" s="56">
        <f t="shared" si="5"/>
        <v>0</v>
      </c>
    </row>
    <row r="38" spans="1:12" x14ac:dyDescent="0.2">
      <c r="A38" s="47" t="s">
        <v>157</v>
      </c>
      <c r="B38" s="54">
        <f>'Host system'!$C$27</f>
        <v>0.45</v>
      </c>
      <c r="C38" s="55">
        <v>0</v>
      </c>
      <c r="D38" s="55">
        <v>0</v>
      </c>
      <c r="E38" s="56">
        <f t="shared" si="6"/>
        <v>58.82352941176471</v>
      </c>
      <c r="F38" s="57">
        <f t="shared" si="7"/>
        <v>0.4</v>
      </c>
      <c r="G38" s="56">
        <f t="shared" si="0"/>
        <v>58.82352941176471</v>
      </c>
      <c r="H38" s="57">
        <f t="shared" si="1"/>
        <v>0.4</v>
      </c>
      <c r="I38" s="56">
        <f t="shared" si="2"/>
        <v>58.82352941176471</v>
      </c>
      <c r="J38" s="56">
        <f t="shared" si="3"/>
        <v>0</v>
      </c>
      <c r="K38" s="56">
        <f t="shared" si="4"/>
        <v>0</v>
      </c>
      <c r="L38" s="56">
        <f t="shared" si="5"/>
        <v>0</v>
      </c>
    </row>
    <row r="39" spans="1:12" x14ac:dyDescent="0.2">
      <c r="A39" s="47" t="s">
        <v>158</v>
      </c>
      <c r="B39" s="54">
        <f>'Host system'!$C$28</f>
        <v>0.55000000000000004</v>
      </c>
      <c r="C39" s="55">
        <v>0</v>
      </c>
      <c r="D39" s="55">
        <v>0</v>
      </c>
      <c r="E39" s="56">
        <f t="shared" si="6"/>
        <v>58.82352941176471</v>
      </c>
      <c r="F39" s="57">
        <f t="shared" si="7"/>
        <v>0.4</v>
      </c>
      <c r="G39" s="56">
        <f t="shared" si="0"/>
        <v>58.82352941176471</v>
      </c>
      <c r="H39" s="57">
        <f t="shared" si="1"/>
        <v>0.4</v>
      </c>
      <c r="I39" s="56">
        <f t="shared" si="2"/>
        <v>58.82352941176471</v>
      </c>
      <c r="J39" s="56">
        <f t="shared" si="3"/>
        <v>0</v>
      </c>
      <c r="K39" s="56">
        <f t="shared" si="4"/>
        <v>0</v>
      </c>
      <c r="L39" s="56">
        <f t="shared" si="5"/>
        <v>0</v>
      </c>
    </row>
    <row r="40" spans="1:12" x14ac:dyDescent="0.2">
      <c r="A40" s="47" t="s">
        <v>159</v>
      </c>
      <c r="B40" s="54">
        <f>'Host system'!$C$29</f>
        <v>0.6</v>
      </c>
      <c r="C40" s="55">
        <v>0</v>
      </c>
      <c r="D40" s="55">
        <v>0</v>
      </c>
      <c r="E40" s="56">
        <f t="shared" si="6"/>
        <v>58.82352941176471</v>
      </c>
      <c r="F40" s="57">
        <f t="shared" si="7"/>
        <v>0.4</v>
      </c>
      <c r="G40" s="56">
        <f t="shared" si="0"/>
        <v>58.82352941176471</v>
      </c>
      <c r="H40" s="57">
        <f t="shared" si="1"/>
        <v>0.4</v>
      </c>
      <c r="I40" s="56">
        <f t="shared" si="2"/>
        <v>58.82352941176471</v>
      </c>
      <c r="J40" s="56">
        <f t="shared" si="3"/>
        <v>0</v>
      </c>
      <c r="K40" s="56">
        <f t="shared" si="4"/>
        <v>0</v>
      </c>
      <c r="L40" s="56">
        <f t="shared" si="5"/>
        <v>0</v>
      </c>
    </row>
    <row r="41" spans="1:12" x14ac:dyDescent="0.2">
      <c r="A41" s="47" t="s">
        <v>160</v>
      </c>
      <c r="B41" s="54">
        <f>'Host system'!$C$30</f>
        <v>0.7</v>
      </c>
      <c r="C41" s="55">
        <v>0</v>
      </c>
      <c r="D41" s="55">
        <v>0</v>
      </c>
      <c r="E41" s="56">
        <f t="shared" si="6"/>
        <v>58.82352941176471</v>
      </c>
      <c r="F41" s="57">
        <f t="shared" si="7"/>
        <v>0.4</v>
      </c>
      <c r="G41" s="56">
        <f t="shared" si="0"/>
        <v>58.82352941176471</v>
      </c>
      <c r="H41" s="57">
        <f t="shared" si="1"/>
        <v>0.4</v>
      </c>
      <c r="I41" s="56">
        <f t="shared" si="2"/>
        <v>58.82352941176471</v>
      </c>
      <c r="J41" s="56">
        <f t="shared" si="3"/>
        <v>0</v>
      </c>
      <c r="K41" s="56">
        <f t="shared" si="4"/>
        <v>0</v>
      </c>
      <c r="L41" s="56">
        <f t="shared" si="5"/>
        <v>0</v>
      </c>
    </row>
    <row r="42" spans="1:12" x14ac:dyDescent="0.2">
      <c r="A42" s="47" t="s">
        <v>161</v>
      </c>
      <c r="B42" s="54">
        <f>'Host system'!$C$31</f>
        <v>0.85</v>
      </c>
      <c r="C42" s="55">
        <v>0</v>
      </c>
      <c r="D42" s="55">
        <f>$C$8/4</f>
        <v>12.5</v>
      </c>
      <c r="E42" s="56">
        <f t="shared" si="6"/>
        <v>58.82352941176471</v>
      </c>
      <c r="F42" s="57">
        <f t="shared" si="7"/>
        <v>0.4</v>
      </c>
      <c r="G42" s="56">
        <f t="shared" si="0"/>
        <v>58.82352941176471</v>
      </c>
      <c r="H42" s="57">
        <f t="shared" si="1"/>
        <v>0.4</v>
      </c>
      <c r="I42" s="56">
        <f t="shared" si="2"/>
        <v>44.117647058823536</v>
      </c>
      <c r="J42" s="56">
        <f t="shared" si="3"/>
        <v>10.316875</v>
      </c>
      <c r="K42" s="56">
        <f t="shared" si="4"/>
        <v>5.882352941176471</v>
      </c>
      <c r="L42" s="56">
        <f t="shared" si="5"/>
        <v>4.4345220588235286</v>
      </c>
    </row>
    <row r="43" spans="1:12" x14ac:dyDescent="0.2">
      <c r="A43" s="47" t="s">
        <v>162</v>
      </c>
      <c r="B43" s="54">
        <f>'Host system'!$C$32</f>
        <v>0.85</v>
      </c>
      <c r="C43" s="55">
        <v>0</v>
      </c>
      <c r="D43" s="55">
        <f>$C$8/4</f>
        <v>12.5</v>
      </c>
      <c r="E43" s="56">
        <f t="shared" si="6"/>
        <v>44.117647058823536</v>
      </c>
      <c r="F43" s="57">
        <f t="shared" si="7"/>
        <v>0.4</v>
      </c>
      <c r="G43" s="56">
        <f t="shared" si="0"/>
        <v>44.117647058823536</v>
      </c>
      <c r="H43" s="57">
        <f t="shared" si="1"/>
        <v>0.4</v>
      </c>
      <c r="I43" s="56">
        <f t="shared" si="2"/>
        <v>29.411764705882359</v>
      </c>
      <c r="J43" s="56">
        <f t="shared" si="3"/>
        <v>10.316875</v>
      </c>
      <c r="K43" s="56">
        <f t="shared" si="4"/>
        <v>5.882352941176471</v>
      </c>
      <c r="L43" s="56">
        <f t="shared" si="5"/>
        <v>4.4345220588235286</v>
      </c>
    </row>
    <row r="44" spans="1:12" x14ac:dyDescent="0.2">
      <c r="A44" s="47" t="s">
        <v>163</v>
      </c>
      <c r="B44" s="54">
        <f>'Host system'!$C$33</f>
        <v>0.85</v>
      </c>
      <c r="C44" s="55">
        <v>0</v>
      </c>
      <c r="D44" s="55">
        <f>$C$8/4</f>
        <v>12.5</v>
      </c>
      <c r="E44" s="56">
        <f t="shared" si="6"/>
        <v>29.411764705882359</v>
      </c>
      <c r="F44" s="57">
        <f t="shared" si="7"/>
        <v>0.4</v>
      </c>
      <c r="G44" s="56">
        <f t="shared" si="0"/>
        <v>29.411764705882359</v>
      </c>
      <c r="H44" s="57">
        <f t="shared" si="1"/>
        <v>0.4</v>
      </c>
      <c r="I44" s="56">
        <f t="shared" si="2"/>
        <v>14.705882352941181</v>
      </c>
      <c r="J44" s="56">
        <f t="shared" si="3"/>
        <v>10.316875</v>
      </c>
      <c r="K44" s="56">
        <f t="shared" si="4"/>
        <v>5.882352941176471</v>
      </c>
      <c r="L44" s="56">
        <f t="shared" si="5"/>
        <v>4.4345220588235286</v>
      </c>
    </row>
    <row r="45" spans="1:12" x14ac:dyDescent="0.2">
      <c r="A45" s="47" t="s">
        <v>164</v>
      </c>
      <c r="B45" s="54">
        <f>'Host system'!$C$34</f>
        <v>0.85</v>
      </c>
      <c r="C45" s="55">
        <v>0</v>
      </c>
      <c r="D45" s="55">
        <f>$C$8/4</f>
        <v>12.5</v>
      </c>
      <c r="E45" s="56">
        <f t="shared" si="6"/>
        <v>14.705882352941181</v>
      </c>
      <c r="F45" s="57">
        <f t="shared" si="7"/>
        <v>0.4</v>
      </c>
      <c r="G45" s="56">
        <f t="shared" si="0"/>
        <v>14.705882352941181</v>
      </c>
      <c r="H45" s="57">
        <f t="shared" si="1"/>
        <v>0.4</v>
      </c>
      <c r="I45" s="56">
        <f t="shared" si="2"/>
        <v>0</v>
      </c>
      <c r="J45" s="56">
        <f t="shared" si="3"/>
        <v>10.316875</v>
      </c>
      <c r="K45" s="56">
        <f t="shared" si="4"/>
        <v>5.882352941176471</v>
      </c>
      <c r="L45" s="56">
        <f t="shared" si="5"/>
        <v>4.4345220588235286</v>
      </c>
    </row>
    <row r="46" spans="1:12" x14ac:dyDescent="0.2">
      <c r="A46" s="47" t="s">
        <v>165</v>
      </c>
      <c r="B46" s="54">
        <f>'Host system'!$C$35</f>
        <v>0.75</v>
      </c>
      <c r="C46" s="55">
        <v>0</v>
      </c>
      <c r="D46" s="55">
        <v>0</v>
      </c>
      <c r="E46" s="56">
        <f t="shared" si="6"/>
        <v>0</v>
      </c>
      <c r="F46" s="57">
        <f t="shared" si="7"/>
        <v>0.4</v>
      </c>
      <c r="G46" s="56">
        <f t="shared" si="0"/>
        <v>0</v>
      </c>
      <c r="H46" s="57">
        <f t="shared" si="1"/>
        <v>0.4</v>
      </c>
      <c r="I46" s="56">
        <f t="shared" si="2"/>
        <v>0</v>
      </c>
      <c r="J46" s="56">
        <f t="shared" si="3"/>
        <v>0</v>
      </c>
      <c r="K46" s="56">
        <f t="shared" si="4"/>
        <v>0</v>
      </c>
      <c r="L46" s="56">
        <f t="shared" si="5"/>
        <v>0</v>
      </c>
    </row>
    <row r="47" spans="1:12" x14ac:dyDescent="0.2">
      <c r="A47" s="47" t="s">
        <v>166</v>
      </c>
      <c r="B47" s="54">
        <f>'Host system'!$C$36</f>
        <v>0.7</v>
      </c>
      <c r="C47" s="55">
        <v>0</v>
      </c>
      <c r="D47" s="55">
        <v>0</v>
      </c>
      <c r="E47" s="56">
        <f t="shared" si="6"/>
        <v>0</v>
      </c>
      <c r="F47" s="57">
        <f t="shared" si="7"/>
        <v>0.4</v>
      </c>
      <c r="G47" s="56">
        <f t="shared" si="0"/>
        <v>0</v>
      </c>
      <c r="H47" s="57">
        <f t="shared" si="1"/>
        <v>0.4</v>
      </c>
      <c r="I47" s="56">
        <f t="shared" si="2"/>
        <v>0</v>
      </c>
      <c r="J47" s="56">
        <f t="shared" si="3"/>
        <v>0</v>
      </c>
      <c r="K47" s="56">
        <f t="shared" si="4"/>
        <v>0</v>
      </c>
      <c r="L47" s="56">
        <f t="shared" si="5"/>
        <v>0</v>
      </c>
    </row>
    <row r="48" spans="1:12" x14ac:dyDescent="0.2">
      <c r="A48" s="58" t="s">
        <v>349</v>
      </c>
      <c r="C48" s="59">
        <f>SUM(C24:C47)</f>
        <v>58.82352941176471</v>
      </c>
      <c r="D48" s="59">
        <f>SUM(D24:D47)</f>
        <v>50</v>
      </c>
      <c r="J48" s="59">
        <f>SUM(J24:J47)</f>
        <v>41.267499999999998</v>
      </c>
      <c r="K48" s="59">
        <f>SUM(K24:K47)</f>
        <v>23.529411764705884</v>
      </c>
      <c r="L48" s="59">
        <f>SUM(L24:L47)</f>
        <v>17.738088235294114</v>
      </c>
    </row>
    <row r="50" spans="1:12" s="23" customFormat="1" ht="15" customHeight="1" x14ac:dyDescent="0.2">
      <c r="A50" s="29" t="s">
        <v>228</v>
      </c>
      <c r="B50" s="29" t="s">
        <v>123</v>
      </c>
      <c r="C50" s="29" t="s">
        <v>49</v>
      </c>
      <c r="D50" s="29" t="s">
        <v>50</v>
      </c>
      <c r="E50" s="105" t="s">
        <v>201</v>
      </c>
      <c r="F50" s="105"/>
      <c r="G50" s="105"/>
      <c r="H50" s="105"/>
      <c r="I50" s="105"/>
      <c r="J50" s="105"/>
      <c r="K50" s="105"/>
      <c r="L50" s="105"/>
    </row>
    <row r="51" spans="1:12" ht="13.5" customHeight="1" x14ac:dyDescent="0.2">
      <c r="A51" s="30" t="s">
        <v>350</v>
      </c>
      <c r="B51" s="30" t="s">
        <v>351</v>
      </c>
      <c r="C51" s="39">
        <f>D48*C10</f>
        <v>18250</v>
      </c>
      <c r="D51" s="30" t="s">
        <v>183</v>
      </c>
      <c r="E51" s="103" t="s">
        <v>352</v>
      </c>
      <c r="F51" s="103"/>
      <c r="G51" s="103"/>
      <c r="H51" s="103"/>
      <c r="I51" s="103"/>
      <c r="J51" s="103"/>
      <c r="K51" s="103"/>
      <c r="L51" s="103"/>
    </row>
    <row r="52" spans="1:12" ht="13.5" customHeight="1" x14ac:dyDescent="0.2">
      <c r="A52" s="30" t="s">
        <v>353</v>
      </c>
      <c r="B52" s="30" t="s">
        <v>354</v>
      </c>
      <c r="C52" s="39">
        <f>SUMPRODUCT(B24:B47,D24:D47)*C10</f>
        <v>15512.5</v>
      </c>
      <c r="D52" s="30" t="s">
        <v>207</v>
      </c>
      <c r="E52" s="103" t="s">
        <v>355</v>
      </c>
      <c r="F52" s="103"/>
      <c r="G52" s="103"/>
      <c r="H52" s="103"/>
      <c r="I52" s="103"/>
      <c r="J52" s="103"/>
      <c r="K52" s="103"/>
      <c r="L52" s="103"/>
    </row>
    <row r="53" spans="1:12" ht="13.5" customHeight="1" x14ac:dyDescent="0.2">
      <c r="A53" s="30" t="s">
        <v>356</v>
      </c>
      <c r="B53" s="30" t="s">
        <v>357</v>
      </c>
      <c r="C53" s="39">
        <f>SUMPRODUCT(B24:B47,C24:C47)*C10</f>
        <v>8588.2352941176468</v>
      </c>
      <c r="D53" s="30" t="s">
        <v>207</v>
      </c>
      <c r="E53" s="103" t="s">
        <v>358</v>
      </c>
      <c r="F53" s="103"/>
      <c r="G53" s="103"/>
      <c r="H53" s="103"/>
      <c r="I53" s="103"/>
      <c r="J53" s="103"/>
      <c r="K53" s="103"/>
      <c r="L53" s="103"/>
    </row>
    <row r="54" spans="1:12" ht="13.5" customHeight="1" x14ac:dyDescent="0.2">
      <c r="A54" s="30" t="s">
        <v>359</v>
      </c>
      <c r="B54" s="30" t="s">
        <v>360</v>
      </c>
      <c r="C54" s="39">
        <f>L48*C10</f>
        <v>6474.4022058823521</v>
      </c>
      <c r="D54" s="30" t="s">
        <v>207</v>
      </c>
      <c r="E54" s="103" t="s">
        <v>361</v>
      </c>
      <c r="F54" s="103"/>
      <c r="G54" s="103"/>
      <c r="H54" s="103"/>
      <c r="I54" s="103"/>
      <c r="J54" s="103"/>
      <c r="K54" s="103"/>
      <c r="L54" s="103"/>
    </row>
    <row r="55" spans="1:12" ht="13.5" customHeight="1" x14ac:dyDescent="0.2">
      <c r="A55" s="44" t="s">
        <v>362</v>
      </c>
      <c r="B55" s="44" t="s">
        <v>363</v>
      </c>
      <c r="C55" s="45">
        <f>MAX(0,C54)</f>
        <v>6474.4022058823521</v>
      </c>
      <c r="D55" s="44" t="s">
        <v>207</v>
      </c>
      <c r="E55" s="102" t="s">
        <v>364</v>
      </c>
      <c r="F55" s="102"/>
      <c r="G55" s="102"/>
      <c r="H55" s="102"/>
      <c r="I55" s="102"/>
      <c r="J55" s="102"/>
      <c r="K55" s="102"/>
      <c r="L55" s="102"/>
    </row>
    <row r="56" spans="1:12" ht="27" customHeight="1" x14ac:dyDescent="0.2">
      <c r="A56" s="30" t="s">
        <v>365</v>
      </c>
      <c r="B56" s="30" t="s">
        <v>366</v>
      </c>
      <c r="C56" s="39">
        <f>C52*C16</f>
        <v>449.86250000000001</v>
      </c>
      <c r="D56" s="30" t="s">
        <v>207</v>
      </c>
      <c r="E56" s="103" t="s">
        <v>367</v>
      </c>
      <c r="F56" s="103"/>
      <c r="G56" s="103"/>
      <c r="H56" s="103"/>
      <c r="I56" s="103"/>
      <c r="J56" s="103"/>
      <c r="K56" s="103"/>
      <c r="L56" s="103"/>
    </row>
    <row r="57" spans="1:12" ht="13.5" customHeight="1" x14ac:dyDescent="0.2">
      <c r="A57" s="30" t="s">
        <v>368</v>
      </c>
      <c r="B57" s="30" t="s">
        <v>369</v>
      </c>
      <c r="C57" s="39">
        <f>C8*C17/MIN(C19,C20)</f>
        <v>330</v>
      </c>
      <c r="D57" s="30" t="s">
        <v>207</v>
      </c>
      <c r="E57" s="103" t="s">
        <v>370</v>
      </c>
      <c r="F57" s="103"/>
      <c r="G57" s="103"/>
      <c r="H57" s="103"/>
      <c r="I57" s="103"/>
      <c r="J57" s="103"/>
      <c r="K57" s="103"/>
      <c r="L57" s="103"/>
    </row>
    <row r="58" spans="1:12" ht="27" customHeight="1" x14ac:dyDescent="0.2">
      <c r="A58" s="30" t="s">
        <v>371</v>
      </c>
      <c r="B58" s="30" t="s">
        <v>372</v>
      </c>
      <c r="C58" s="39">
        <f>C12*C18/MAX(1,C20-C11+1)</f>
        <v>172.5</v>
      </c>
      <c r="D58" s="30" t="s">
        <v>207</v>
      </c>
      <c r="E58" s="103" t="s">
        <v>373</v>
      </c>
      <c r="F58" s="103"/>
      <c r="G58" s="103"/>
      <c r="H58" s="103"/>
      <c r="I58" s="103"/>
      <c r="J58" s="103"/>
      <c r="K58" s="103"/>
      <c r="L58" s="103"/>
    </row>
    <row r="59" spans="1:12" ht="27" customHeight="1" x14ac:dyDescent="0.2">
      <c r="A59" s="30" t="s">
        <v>374</v>
      </c>
      <c r="B59" s="30" t="s">
        <v>245</v>
      </c>
      <c r="C59" s="39">
        <f>C55-C13-C57</f>
        <v>6144.4022058823521</v>
      </c>
      <c r="D59" s="30" t="s">
        <v>207</v>
      </c>
      <c r="E59" s="103" t="s">
        <v>375</v>
      </c>
      <c r="F59" s="103"/>
      <c r="G59" s="103"/>
      <c r="H59" s="103"/>
      <c r="I59" s="103"/>
      <c r="J59" s="103"/>
      <c r="K59" s="103"/>
      <c r="L59" s="103"/>
    </row>
    <row r="60" spans="1:12" ht="13.5" customHeight="1" x14ac:dyDescent="0.2">
      <c r="A60" s="44" t="s">
        <v>247</v>
      </c>
      <c r="B60" s="44" t="s">
        <v>248</v>
      </c>
      <c r="C60" s="45">
        <f>MAX(0,C59)</f>
        <v>6144.4022058823521</v>
      </c>
      <c r="D60" s="44" t="s">
        <v>207</v>
      </c>
      <c r="E60" s="102" t="s">
        <v>306</v>
      </c>
      <c r="F60" s="102"/>
      <c r="G60" s="102"/>
      <c r="H60" s="102"/>
      <c r="I60" s="102"/>
      <c r="J60" s="102"/>
      <c r="K60" s="102"/>
      <c r="L60" s="102"/>
    </row>
    <row r="62" spans="1:12" ht="13.5" customHeight="1" x14ac:dyDescent="0.2">
      <c r="A62" s="96" t="s">
        <v>376</v>
      </c>
      <c r="B62" s="96"/>
      <c r="C62" s="96"/>
      <c r="D62" s="96"/>
      <c r="E62" s="96"/>
      <c r="F62" s="96"/>
      <c r="G62" s="96"/>
      <c r="H62" s="96"/>
      <c r="I62" s="96"/>
      <c r="J62" s="96"/>
      <c r="K62" s="96"/>
      <c r="L62" s="96"/>
    </row>
    <row r="64" spans="1:12" s="23" customFormat="1" x14ac:dyDescent="0.2">
      <c r="A64" s="21" t="s">
        <v>377</v>
      </c>
      <c r="B64" s="22"/>
      <c r="C64" s="22"/>
      <c r="D64" s="22"/>
      <c r="E64" s="22"/>
      <c r="F64" s="22"/>
      <c r="G64" s="22"/>
      <c r="H64" s="22"/>
      <c r="I64" s="22"/>
      <c r="J64" s="22"/>
      <c r="K64" s="22"/>
      <c r="L64" s="22"/>
    </row>
    <row r="65" spans="1:12" ht="35.25" customHeight="1" x14ac:dyDescent="0.2">
      <c r="A65" s="24" t="s">
        <v>378</v>
      </c>
      <c r="B65" s="24" t="s">
        <v>379</v>
      </c>
      <c r="C65" s="24" t="s">
        <v>380</v>
      </c>
      <c r="D65" s="24" t="s">
        <v>381</v>
      </c>
      <c r="E65" s="104" t="s">
        <v>348</v>
      </c>
      <c r="F65" s="104"/>
      <c r="G65" s="104"/>
      <c r="H65" s="104"/>
      <c r="I65" s="104"/>
      <c r="J65" s="104"/>
      <c r="K65" s="104"/>
      <c r="L65" s="104"/>
    </row>
    <row r="66" spans="1:12" ht="27" customHeight="1" x14ac:dyDescent="0.2">
      <c r="A66" s="26" t="s">
        <v>382</v>
      </c>
      <c r="B66" s="49">
        <v>0.25</v>
      </c>
      <c r="C66" s="49">
        <v>0.75</v>
      </c>
      <c r="D66" s="49">
        <v>100</v>
      </c>
      <c r="E66" s="60">
        <f>D66*C66-D66*B66/$C$9</f>
        <v>45.588235294117645</v>
      </c>
    </row>
    <row r="67" spans="1:12" ht="27" customHeight="1" x14ac:dyDescent="0.2">
      <c r="A67" s="26" t="s">
        <v>383</v>
      </c>
      <c r="B67" s="49">
        <v>0.8</v>
      </c>
      <c r="C67" s="49">
        <v>0.4</v>
      </c>
      <c r="D67" s="49">
        <v>100</v>
      </c>
      <c r="E67" s="60">
        <f>D67*C67-D67*B67/$C$9</f>
        <v>-54.117647058823536</v>
      </c>
    </row>
    <row r="68" spans="1:12" ht="15" customHeight="1" x14ac:dyDescent="0.2">
      <c r="A68" s="24" t="s">
        <v>228</v>
      </c>
      <c r="B68" s="24" t="s">
        <v>123</v>
      </c>
      <c r="C68" s="24" t="s">
        <v>49</v>
      </c>
      <c r="D68" s="24" t="s">
        <v>50</v>
      </c>
      <c r="E68" s="104" t="s">
        <v>263</v>
      </c>
      <c r="F68" s="104"/>
      <c r="G68" s="104"/>
      <c r="H68" s="104"/>
      <c r="I68" s="104"/>
      <c r="J68" s="104"/>
      <c r="K68" s="104"/>
      <c r="L68" s="104"/>
    </row>
    <row r="69" spans="1:12" ht="27" customHeight="1" x14ac:dyDescent="0.2">
      <c r="A69" s="30" t="s">
        <v>384</v>
      </c>
      <c r="B69" s="30" t="s">
        <v>106</v>
      </c>
      <c r="C69" s="61">
        <f>E66+E67</f>
        <v>-8.5294117647058911</v>
      </c>
      <c r="D69" s="30" t="s">
        <v>207</v>
      </c>
      <c r="E69" s="103" t="s">
        <v>385</v>
      </c>
      <c r="F69" s="103"/>
      <c r="G69" s="103"/>
      <c r="H69" s="103"/>
      <c r="I69" s="103"/>
      <c r="J69" s="103"/>
      <c r="K69" s="103"/>
      <c r="L69" s="103"/>
    </row>
    <row r="70" spans="1:12" ht="13.5" customHeight="1" x14ac:dyDescent="0.2">
      <c r="A70" s="44" t="s">
        <v>386</v>
      </c>
      <c r="B70" s="44" t="s">
        <v>387</v>
      </c>
      <c r="C70" s="62">
        <f>MAX(0,C69)</f>
        <v>0</v>
      </c>
      <c r="D70" s="44" t="s">
        <v>207</v>
      </c>
      <c r="E70" s="102" t="s">
        <v>388</v>
      </c>
      <c r="F70" s="102"/>
      <c r="G70" s="102"/>
      <c r="H70" s="102"/>
      <c r="I70" s="102"/>
      <c r="J70" s="102"/>
      <c r="K70" s="102"/>
      <c r="L70" s="102"/>
    </row>
    <row r="71" spans="1:12" ht="27" customHeight="1" x14ac:dyDescent="0.2">
      <c r="A71" s="44" t="s">
        <v>389</v>
      </c>
      <c r="B71" s="44" t="s">
        <v>387</v>
      </c>
      <c r="C71" s="62">
        <f>2*E66</f>
        <v>91.17647058823529</v>
      </c>
      <c r="D71" s="44" t="s">
        <v>207</v>
      </c>
      <c r="E71" s="102" t="s">
        <v>390</v>
      </c>
      <c r="F71" s="102"/>
      <c r="G71" s="102"/>
      <c r="H71" s="102"/>
      <c r="I71" s="102"/>
      <c r="J71" s="102"/>
      <c r="K71" s="102"/>
      <c r="L71" s="102"/>
    </row>
  </sheetData>
  <mergeCells count="32">
    <mergeCell ref="E17:L17"/>
    <mergeCell ref="A4:L4"/>
    <mergeCell ref="A5:L5"/>
    <mergeCell ref="E7:L7"/>
    <mergeCell ref="E8:L8"/>
    <mergeCell ref="E9:L9"/>
    <mergeCell ref="E10:L10"/>
    <mergeCell ref="E11:L11"/>
    <mergeCell ref="E12:L12"/>
    <mergeCell ref="E13:L13"/>
    <mergeCell ref="E15:L15"/>
    <mergeCell ref="E16:L16"/>
    <mergeCell ref="E58:L58"/>
    <mergeCell ref="E18:L18"/>
    <mergeCell ref="E19:L19"/>
    <mergeCell ref="E20:L20"/>
    <mergeCell ref="E50:L50"/>
    <mergeCell ref="E51:L51"/>
    <mergeCell ref="E52:L52"/>
    <mergeCell ref="E53:L53"/>
    <mergeCell ref="E54:L54"/>
    <mergeCell ref="E55:L55"/>
    <mergeCell ref="E56:L56"/>
    <mergeCell ref="E57:L57"/>
    <mergeCell ref="E70:L70"/>
    <mergeCell ref="E71:L71"/>
    <mergeCell ref="E59:L59"/>
    <mergeCell ref="E60:L60"/>
    <mergeCell ref="A62:L62"/>
    <mergeCell ref="E65:L65"/>
    <mergeCell ref="E68:L68"/>
    <mergeCell ref="E69:L69"/>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DC069-E6D6-4C46-A872-04DF693FCECD}">
  <sheetPr>
    <pageSetUpPr fitToPage="1"/>
  </sheetPr>
  <dimension ref="A1:N63"/>
  <sheetViews>
    <sheetView showGridLines="0" zoomScaleNormal="100" workbookViewId="0">
      <selection sqref="A1:XFD1"/>
    </sheetView>
  </sheetViews>
  <sheetFormatPr baseColWidth="10" defaultColWidth="8.6640625" defaultRowHeight="16" x14ac:dyDescent="0.2"/>
  <cols>
    <col min="1" max="1" width="34" style="19" customWidth="1"/>
    <col min="2" max="2" width="16" style="19" customWidth="1"/>
    <col min="3" max="5" width="14" style="19" customWidth="1"/>
    <col min="6" max="6" width="12" style="19" customWidth="1"/>
    <col min="7" max="7" width="10" style="19" customWidth="1"/>
    <col min="8" max="8" width="14" style="19" customWidth="1"/>
    <col min="9" max="10" width="12" style="19" customWidth="1"/>
    <col min="11" max="11" width="10" style="19" customWidth="1"/>
    <col min="12" max="12" width="12" style="19" customWidth="1"/>
    <col min="13" max="14" width="14" style="19" customWidth="1"/>
    <col min="15" max="16384" width="8.6640625" style="19"/>
  </cols>
  <sheetData>
    <row r="1" spans="1:14" s="90" customFormat="1" ht="25" x14ac:dyDescent="0.25">
      <c r="A1" s="89" t="s">
        <v>391</v>
      </c>
    </row>
    <row r="2" spans="1:14" x14ac:dyDescent="0.2">
      <c r="A2" s="20" t="s">
        <v>392</v>
      </c>
    </row>
    <row r="4" spans="1:14" ht="54" customHeight="1" x14ac:dyDescent="0.2">
      <c r="A4" s="96" t="s">
        <v>393</v>
      </c>
      <c r="B4" s="96"/>
      <c r="C4" s="96"/>
      <c r="D4" s="96"/>
      <c r="E4" s="96"/>
      <c r="F4" s="96"/>
      <c r="G4" s="96"/>
      <c r="H4" s="96"/>
      <c r="I4" s="96"/>
      <c r="J4" s="96"/>
      <c r="K4" s="96"/>
      <c r="L4" s="96"/>
      <c r="M4" s="96"/>
      <c r="N4" s="96"/>
    </row>
    <row r="5" spans="1:14" ht="27" customHeight="1" x14ac:dyDescent="0.2">
      <c r="A5" s="96" t="s">
        <v>394</v>
      </c>
      <c r="B5" s="96"/>
      <c r="C5" s="96"/>
      <c r="D5" s="96"/>
      <c r="E5" s="96"/>
      <c r="F5" s="96"/>
      <c r="G5" s="96"/>
      <c r="H5" s="96"/>
      <c r="I5" s="96"/>
      <c r="J5" s="96"/>
      <c r="K5" s="96"/>
      <c r="L5" s="96"/>
      <c r="M5" s="96"/>
      <c r="N5" s="96"/>
    </row>
    <row r="6" spans="1:14" s="23" customFormat="1" x14ac:dyDescent="0.2">
      <c r="A6" s="21" t="s">
        <v>171</v>
      </c>
      <c r="B6" s="22"/>
      <c r="C6" s="22"/>
      <c r="D6" s="22"/>
      <c r="E6" s="22"/>
      <c r="F6" s="22"/>
      <c r="G6" s="22"/>
      <c r="H6" s="22"/>
      <c r="I6" s="22"/>
      <c r="J6" s="22"/>
      <c r="K6" s="22"/>
      <c r="L6" s="22"/>
      <c r="M6" s="22"/>
      <c r="N6" s="22"/>
    </row>
    <row r="7" spans="1:14" ht="15" customHeight="1" x14ac:dyDescent="0.2">
      <c r="A7" s="24" t="s">
        <v>47</v>
      </c>
      <c r="B7" s="24" t="s">
        <v>123</v>
      </c>
      <c r="C7" s="24" t="s">
        <v>49</v>
      </c>
      <c r="D7" s="24" t="s">
        <v>50</v>
      </c>
      <c r="E7" s="104" t="s">
        <v>124</v>
      </c>
      <c r="F7" s="104"/>
      <c r="G7" s="104"/>
      <c r="H7" s="104"/>
      <c r="I7" s="104"/>
      <c r="J7" s="104"/>
      <c r="K7" s="104"/>
      <c r="L7" s="104"/>
      <c r="M7" s="104"/>
      <c r="N7" s="104"/>
    </row>
    <row r="8" spans="1:14" ht="13.5" customHeight="1" x14ac:dyDescent="0.2">
      <c r="A8" s="30" t="s">
        <v>395</v>
      </c>
      <c r="B8" s="30" t="s">
        <v>176</v>
      </c>
      <c r="C8" s="36">
        <v>7.5</v>
      </c>
      <c r="D8" s="30" t="s">
        <v>177</v>
      </c>
      <c r="E8" s="103" t="s">
        <v>396</v>
      </c>
      <c r="F8" s="103"/>
      <c r="G8" s="103"/>
      <c r="H8" s="103"/>
      <c r="I8" s="103"/>
      <c r="J8" s="103"/>
      <c r="K8" s="103"/>
      <c r="L8" s="103"/>
      <c r="M8" s="103"/>
      <c r="N8" s="103"/>
    </row>
    <row r="9" spans="1:14" ht="13.5" customHeight="1" x14ac:dyDescent="0.2">
      <c r="A9" s="30" t="s">
        <v>397</v>
      </c>
      <c r="B9" s="30" t="s">
        <v>313</v>
      </c>
      <c r="C9" s="36">
        <v>20</v>
      </c>
      <c r="D9" s="30" t="s">
        <v>183</v>
      </c>
      <c r="E9" s="103" t="s">
        <v>398</v>
      </c>
      <c r="F9" s="103"/>
      <c r="G9" s="103"/>
      <c r="H9" s="103"/>
      <c r="I9" s="103"/>
      <c r="J9" s="103"/>
      <c r="K9" s="103"/>
      <c r="L9" s="103"/>
      <c r="M9" s="103"/>
      <c r="N9" s="103"/>
    </row>
    <row r="10" spans="1:14" ht="27" customHeight="1" x14ac:dyDescent="0.2">
      <c r="A10" s="30" t="s">
        <v>399</v>
      </c>
      <c r="B10" s="30" t="s">
        <v>400</v>
      </c>
      <c r="C10" s="34">
        <v>0.35</v>
      </c>
      <c r="D10" s="30" t="s">
        <v>58</v>
      </c>
      <c r="E10" s="103" t="s">
        <v>401</v>
      </c>
      <c r="F10" s="103"/>
      <c r="G10" s="103"/>
      <c r="H10" s="103"/>
      <c r="I10" s="103"/>
      <c r="J10" s="103"/>
      <c r="K10" s="103"/>
      <c r="L10" s="103"/>
      <c r="M10" s="103"/>
      <c r="N10" s="103"/>
    </row>
    <row r="11" spans="1:14" s="23" customFormat="1" x14ac:dyDescent="0.2">
      <c r="A11" s="21" t="s">
        <v>188</v>
      </c>
      <c r="B11" s="22"/>
      <c r="C11" s="22"/>
      <c r="D11" s="22"/>
      <c r="E11" s="22"/>
    </row>
    <row r="12" spans="1:14" ht="15" customHeight="1" x14ac:dyDescent="0.2">
      <c r="A12" s="24" t="s">
        <v>47</v>
      </c>
      <c r="B12" s="24" t="s">
        <v>123</v>
      </c>
      <c r="C12" s="24" t="s">
        <v>49</v>
      </c>
      <c r="D12" s="24" t="s">
        <v>50</v>
      </c>
      <c r="E12" s="104" t="s">
        <v>189</v>
      </c>
      <c r="F12" s="104"/>
      <c r="G12" s="104"/>
      <c r="H12" s="104"/>
      <c r="I12" s="104"/>
      <c r="J12" s="104"/>
      <c r="K12" s="104"/>
      <c r="L12" s="104"/>
      <c r="M12" s="104"/>
      <c r="N12" s="104"/>
    </row>
    <row r="13" spans="1:14" ht="27" customHeight="1" x14ac:dyDescent="0.2">
      <c r="A13" s="30" t="s">
        <v>190</v>
      </c>
      <c r="B13" s="30" t="s">
        <v>126</v>
      </c>
      <c r="C13" s="40">
        <f>'Host system'!$C$5</f>
        <v>0.54</v>
      </c>
      <c r="D13" s="30" t="s">
        <v>89</v>
      </c>
      <c r="E13" s="103" t="s">
        <v>191</v>
      </c>
      <c r="F13" s="103"/>
      <c r="G13" s="103"/>
      <c r="H13" s="103"/>
      <c r="I13" s="103"/>
      <c r="J13" s="103"/>
      <c r="K13" s="103"/>
      <c r="L13" s="103"/>
      <c r="M13" s="103"/>
      <c r="N13" s="103"/>
    </row>
    <row r="14" spans="1:14" ht="13.5" customHeight="1" x14ac:dyDescent="0.2">
      <c r="A14" s="30" t="s">
        <v>128</v>
      </c>
      <c r="B14" s="30" t="s">
        <v>129</v>
      </c>
      <c r="C14" s="41">
        <f>'Host system'!$C$6</f>
        <v>2.9000000000000001E-2</v>
      </c>
      <c r="D14" s="30" t="s">
        <v>58</v>
      </c>
      <c r="E14" s="103" t="s">
        <v>191</v>
      </c>
      <c r="F14" s="103"/>
      <c r="G14" s="103"/>
      <c r="H14" s="103"/>
      <c r="I14" s="103"/>
      <c r="J14" s="103"/>
      <c r="K14" s="103"/>
      <c r="L14" s="103"/>
      <c r="M14" s="103"/>
      <c r="N14" s="103"/>
    </row>
    <row r="15" spans="1:14" ht="13.5" customHeight="1" x14ac:dyDescent="0.2">
      <c r="A15" s="30" t="s">
        <v>56</v>
      </c>
      <c r="B15" s="30" t="s">
        <v>57</v>
      </c>
      <c r="C15" s="42">
        <f>Defaults!$C$6</f>
        <v>1</v>
      </c>
      <c r="D15" s="30" t="s">
        <v>58</v>
      </c>
      <c r="E15" s="103" t="s">
        <v>192</v>
      </c>
      <c r="F15" s="103"/>
      <c r="G15" s="103"/>
      <c r="H15" s="103"/>
      <c r="I15" s="103"/>
      <c r="J15" s="103"/>
      <c r="K15" s="103"/>
      <c r="L15" s="103"/>
      <c r="M15" s="103"/>
      <c r="N15" s="103"/>
    </row>
    <row r="16" spans="1:14" ht="13.5" customHeight="1" x14ac:dyDescent="0.2">
      <c r="A16" s="30" t="s">
        <v>402</v>
      </c>
      <c r="B16" s="30" t="s">
        <v>88</v>
      </c>
      <c r="C16" s="40">
        <f>Defaults!$C$16</f>
        <v>0.54</v>
      </c>
      <c r="D16" s="30" t="s">
        <v>89</v>
      </c>
      <c r="E16" s="103" t="s">
        <v>192</v>
      </c>
      <c r="F16" s="103"/>
      <c r="G16" s="103"/>
      <c r="H16" s="103"/>
      <c r="I16" s="103"/>
      <c r="J16" s="103"/>
      <c r="K16" s="103"/>
      <c r="L16" s="103"/>
      <c r="M16" s="103"/>
      <c r="N16" s="103"/>
    </row>
    <row r="17" spans="1:14" ht="13.5" customHeight="1" x14ac:dyDescent="0.2">
      <c r="A17" s="30" t="s">
        <v>91</v>
      </c>
      <c r="B17" s="30" t="s">
        <v>403</v>
      </c>
      <c r="C17" s="63">
        <f>Defaults!$C$17</f>
        <v>43</v>
      </c>
      <c r="D17" s="30" t="s">
        <v>93</v>
      </c>
      <c r="E17" s="103" t="s">
        <v>192</v>
      </c>
      <c r="F17" s="103"/>
      <c r="G17" s="103"/>
      <c r="H17" s="103"/>
      <c r="I17" s="103"/>
      <c r="J17" s="103"/>
      <c r="K17" s="103"/>
      <c r="L17" s="103"/>
      <c r="M17" s="103"/>
      <c r="N17" s="103"/>
    </row>
    <row r="18" spans="1:14" ht="13.5" customHeight="1" x14ac:dyDescent="0.2">
      <c r="A18" s="30" t="s">
        <v>95</v>
      </c>
      <c r="B18" s="30" t="s">
        <v>96</v>
      </c>
      <c r="C18" s="63">
        <f>Defaults!$C$18</f>
        <v>74.099999999999994</v>
      </c>
      <c r="D18" s="30" t="s">
        <v>97</v>
      </c>
      <c r="E18" s="103" t="s">
        <v>192</v>
      </c>
      <c r="F18" s="103"/>
      <c r="G18" s="103"/>
      <c r="H18" s="103"/>
      <c r="I18" s="103"/>
      <c r="J18" s="103"/>
      <c r="K18" s="103"/>
      <c r="L18" s="103"/>
      <c r="M18" s="103"/>
      <c r="N18" s="103"/>
    </row>
    <row r="19" spans="1:14" ht="13.5" customHeight="1" x14ac:dyDescent="0.2">
      <c r="A19" s="30" t="s">
        <v>404</v>
      </c>
      <c r="B19" s="30" t="s">
        <v>99</v>
      </c>
      <c r="C19" s="40">
        <f>Defaults!$C$19</f>
        <v>1.002</v>
      </c>
      <c r="D19" s="30" t="s">
        <v>106</v>
      </c>
      <c r="E19" s="103" t="s">
        <v>192</v>
      </c>
      <c r="F19" s="103"/>
      <c r="G19" s="103"/>
      <c r="H19" s="103"/>
      <c r="I19" s="103"/>
      <c r="J19" s="103"/>
      <c r="K19" s="103"/>
      <c r="L19" s="103"/>
      <c r="M19" s="103"/>
      <c r="N19" s="103"/>
    </row>
    <row r="20" spans="1:14" ht="13.5" customHeight="1" x14ac:dyDescent="0.2">
      <c r="A20" s="30" t="s">
        <v>102</v>
      </c>
      <c r="B20" s="30" t="s">
        <v>405</v>
      </c>
      <c r="C20" s="53">
        <f>Defaults!$C$20</f>
        <v>0.05</v>
      </c>
      <c r="D20" s="30" t="s">
        <v>58</v>
      </c>
      <c r="E20" s="103" t="s">
        <v>192</v>
      </c>
      <c r="F20" s="103"/>
      <c r="G20" s="103"/>
      <c r="H20" s="103"/>
      <c r="I20" s="103"/>
      <c r="J20" s="103"/>
      <c r="K20" s="103"/>
      <c r="L20" s="103"/>
      <c r="M20" s="103"/>
      <c r="N20" s="103"/>
    </row>
    <row r="21" spans="1:14" ht="13.5" customHeight="1" x14ac:dyDescent="0.2">
      <c r="A21" s="30" t="s">
        <v>105</v>
      </c>
      <c r="B21" s="30" t="s">
        <v>106</v>
      </c>
      <c r="C21" s="43">
        <f>Defaults!$C$21</f>
        <v>100</v>
      </c>
      <c r="D21" s="30" t="s">
        <v>406</v>
      </c>
      <c r="E21" s="103" t="s">
        <v>192</v>
      </c>
      <c r="F21" s="103"/>
      <c r="G21" s="103"/>
      <c r="H21" s="103"/>
      <c r="I21" s="103"/>
      <c r="J21" s="103"/>
      <c r="K21" s="103"/>
      <c r="L21" s="103"/>
      <c r="M21" s="103"/>
      <c r="N21" s="103"/>
    </row>
    <row r="22" spans="1:14" ht="13.5" customHeight="1" x14ac:dyDescent="0.2">
      <c r="A22" s="30" t="s">
        <v>109</v>
      </c>
      <c r="B22" s="30" t="s">
        <v>110</v>
      </c>
      <c r="C22" s="63">
        <f>Defaults!$C$22</f>
        <v>3.6</v>
      </c>
      <c r="D22" s="30" t="s">
        <v>111</v>
      </c>
      <c r="E22" s="103" t="s">
        <v>192</v>
      </c>
      <c r="F22" s="103"/>
      <c r="G22" s="103"/>
      <c r="H22" s="103"/>
      <c r="I22" s="103"/>
      <c r="J22" s="103"/>
      <c r="K22" s="103"/>
      <c r="L22" s="103"/>
      <c r="M22" s="103"/>
      <c r="N22" s="103"/>
    </row>
    <row r="23" spans="1:14" ht="13.5" customHeight="1" x14ac:dyDescent="0.2">
      <c r="A23" s="30" t="s">
        <v>193</v>
      </c>
      <c r="B23" s="30" t="s">
        <v>194</v>
      </c>
      <c r="C23" s="43">
        <f>Defaults!$C$7</f>
        <v>1000</v>
      </c>
      <c r="D23" s="30" t="s">
        <v>195</v>
      </c>
      <c r="E23" s="103" t="s">
        <v>192</v>
      </c>
      <c r="F23" s="103"/>
      <c r="G23" s="103"/>
      <c r="H23" s="103"/>
      <c r="I23" s="103"/>
      <c r="J23" s="103"/>
      <c r="K23" s="103"/>
      <c r="L23" s="103"/>
      <c r="M23" s="103"/>
      <c r="N23" s="103"/>
    </row>
    <row r="24" spans="1:14" ht="13.5" customHeight="1" x14ac:dyDescent="0.2">
      <c r="A24" s="30" t="s">
        <v>331</v>
      </c>
      <c r="B24" s="30" t="s">
        <v>332</v>
      </c>
      <c r="C24" s="43">
        <f>Defaults!$C$9</f>
        <v>99</v>
      </c>
      <c r="D24" s="30" t="s">
        <v>68</v>
      </c>
      <c r="E24" s="103" t="s">
        <v>192</v>
      </c>
      <c r="F24" s="103"/>
      <c r="G24" s="103"/>
      <c r="H24" s="103"/>
      <c r="I24" s="103"/>
      <c r="J24" s="103"/>
      <c r="K24" s="103"/>
      <c r="L24" s="103"/>
      <c r="M24" s="103"/>
      <c r="N24" s="103"/>
    </row>
    <row r="25" spans="1:14" ht="13.5" customHeight="1" x14ac:dyDescent="0.2">
      <c r="A25" s="30" t="s">
        <v>196</v>
      </c>
      <c r="B25" s="30" t="s">
        <v>197</v>
      </c>
      <c r="C25" s="43">
        <f>Defaults!$C$13</f>
        <v>30</v>
      </c>
      <c r="D25" s="30" t="s">
        <v>54</v>
      </c>
      <c r="E25" s="103" t="s">
        <v>192</v>
      </c>
      <c r="F25" s="103"/>
      <c r="G25" s="103"/>
      <c r="H25" s="103"/>
      <c r="I25" s="103"/>
      <c r="J25" s="103"/>
      <c r="K25" s="103"/>
      <c r="L25" s="103"/>
      <c r="M25" s="103"/>
      <c r="N25" s="103"/>
    </row>
    <row r="26" spans="1:14" ht="13.5" customHeight="1" x14ac:dyDescent="0.2">
      <c r="A26" s="30" t="s">
        <v>335</v>
      </c>
      <c r="B26" s="30" t="s">
        <v>336</v>
      </c>
      <c r="C26" s="43">
        <f>Defaults!$C$15</f>
        <v>15</v>
      </c>
      <c r="D26" s="30" t="s">
        <v>54</v>
      </c>
      <c r="E26" s="103" t="s">
        <v>192</v>
      </c>
      <c r="F26" s="103"/>
      <c r="G26" s="103"/>
      <c r="H26" s="103"/>
      <c r="I26" s="103"/>
      <c r="J26" s="103"/>
      <c r="K26" s="103"/>
      <c r="L26" s="103"/>
      <c r="M26" s="103"/>
      <c r="N26" s="103"/>
    </row>
    <row r="27" spans="1:14" ht="13.5" customHeight="1" x14ac:dyDescent="0.2">
      <c r="A27" s="30" t="s">
        <v>52</v>
      </c>
      <c r="B27" s="30" t="s">
        <v>198</v>
      </c>
      <c r="C27" s="43">
        <f>Defaults!$C$5</f>
        <v>15</v>
      </c>
      <c r="D27" s="30" t="s">
        <v>54</v>
      </c>
      <c r="E27" s="103" t="s">
        <v>192</v>
      </c>
      <c r="F27" s="103"/>
      <c r="G27" s="103"/>
      <c r="H27" s="103"/>
      <c r="I27" s="103"/>
      <c r="J27" s="103"/>
      <c r="K27" s="103"/>
      <c r="L27" s="103"/>
      <c r="M27" s="103"/>
      <c r="N27" s="103"/>
    </row>
    <row r="28" spans="1:14" s="23" customFormat="1" x14ac:dyDescent="0.2">
      <c r="A28" s="21" t="s">
        <v>407</v>
      </c>
      <c r="B28" s="22"/>
      <c r="C28" s="22"/>
      <c r="D28" s="22"/>
      <c r="E28" s="22"/>
      <c r="F28" s="22"/>
      <c r="G28" s="22"/>
      <c r="H28" s="22"/>
      <c r="I28" s="22"/>
      <c r="J28" s="22"/>
      <c r="K28" s="22"/>
      <c r="L28" s="22"/>
      <c r="M28" s="22"/>
      <c r="N28" s="22"/>
    </row>
    <row r="29" spans="1:14" ht="15" customHeight="1" x14ac:dyDescent="0.2">
      <c r="A29" s="24" t="s">
        <v>47</v>
      </c>
      <c r="B29" s="24" t="s">
        <v>123</v>
      </c>
      <c r="C29" s="24" t="s">
        <v>49</v>
      </c>
      <c r="D29" s="24" t="s">
        <v>50</v>
      </c>
      <c r="E29" s="104" t="s">
        <v>201</v>
      </c>
      <c r="F29" s="104"/>
      <c r="G29" s="104"/>
      <c r="H29" s="104"/>
      <c r="I29" s="104"/>
      <c r="J29" s="104"/>
      <c r="K29" s="104"/>
      <c r="L29" s="104"/>
      <c r="M29" s="104"/>
      <c r="N29" s="104"/>
    </row>
    <row r="30" spans="1:14" ht="13.5" customHeight="1" x14ac:dyDescent="0.2">
      <c r="A30" s="30" t="s">
        <v>408</v>
      </c>
      <c r="B30" s="30" t="s">
        <v>409</v>
      </c>
      <c r="C30" s="64">
        <f>C17*C18/1000*C19</f>
        <v>3.1926725999999999</v>
      </c>
      <c r="D30" s="30" t="s">
        <v>410</v>
      </c>
      <c r="E30" s="103" t="s">
        <v>101</v>
      </c>
      <c r="F30" s="103"/>
      <c r="G30" s="103"/>
      <c r="H30" s="103"/>
      <c r="I30" s="103"/>
      <c r="J30" s="103"/>
      <c r="K30" s="103"/>
      <c r="L30" s="103"/>
      <c r="M30" s="103"/>
      <c r="N30" s="103"/>
    </row>
    <row r="31" spans="1:14" ht="13.5" customHeight="1" x14ac:dyDescent="0.2">
      <c r="A31" s="30" t="s">
        <v>411</v>
      </c>
      <c r="B31" s="30" t="s">
        <v>412</v>
      </c>
      <c r="C31" s="65">
        <f>MIN(C16,C13)</f>
        <v>0.54</v>
      </c>
      <c r="D31" s="30" t="s">
        <v>89</v>
      </c>
      <c r="E31" s="103" t="s">
        <v>413</v>
      </c>
      <c r="F31" s="103"/>
      <c r="G31" s="103"/>
      <c r="H31" s="103"/>
      <c r="I31" s="103"/>
      <c r="J31" s="103"/>
      <c r="K31" s="103"/>
      <c r="L31" s="103"/>
      <c r="M31" s="103"/>
      <c r="N31" s="103"/>
    </row>
    <row r="33" spans="1:14" s="23" customFormat="1" x14ac:dyDescent="0.2">
      <c r="A33" s="21" t="s">
        <v>414</v>
      </c>
      <c r="B33" s="22"/>
      <c r="C33" s="22"/>
      <c r="D33" s="22"/>
      <c r="E33" s="22"/>
      <c r="F33" s="22"/>
      <c r="G33" s="22"/>
      <c r="H33" s="22"/>
      <c r="I33" s="22"/>
      <c r="J33" s="22"/>
      <c r="K33" s="22"/>
      <c r="L33" s="22"/>
      <c r="M33" s="22"/>
      <c r="N33" s="22"/>
    </row>
    <row r="34" spans="1:14" ht="102" x14ac:dyDescent="0.2">
      <c r="A34" s="24" t="s">
        <v>415</v>
      </c>
      <c r="B34" s="24" t="s">
        <v>416</v>
      </c>
      <c r="C34" s="24" t="s">
        <v>417</v>
      </c>
      <c r="D34" s="24" t="s">
        <v>418</v>
      </c>
      <c r="E34" s="24" t="s">
        <v>419</v>
      </c>
      <c r="F34" s="24" t="s">
        <v>420</v>
      </c>
      <c r="G34" s="24" t="s">
        <v>421</v>
      </c>
      <c r="H34" s="24" t="s">
        <v>422</v>
      </c>
      <c r="I34" s="24" t="s">
        <v>423</v>
      </c>
      <c r="J34" s="24" t="s">
        <v>424</v>
      </c>
      <c r="K34" s="24" t="s">
        <v>425</v>
      </c>
      <c r="L34" s="24" t="s">
        <v>426</v>
      </c>
      <c r="M34" s="24" t="s">
        <v>427</v>
      </c>
      <c r="N34" s="24" t="s">
        <v>428</v>
      </c>
    </row>
    <row r="35" spans="1:14" x14ac:dyDescent="0.2">
      <c r="A35" s="66" t="s">
        <v>429</v>
      </c>
      <c r="B35" s="67">
        <v>780</v>
      </c>
      <c r="C35" s="55">
        <v>1.87</v>
      </c>
      <c r="D35" s="55">
        <v>0</v>
      </c>
      <c r="E35" s="56">
        <f t="shared" ref="E35:E46" si="0">C35*$C$17*$C$10/$C$22</f>
        <v>7.8176388888888892</v>
      </c>
      <c r="F35" s="68">
        <f t="shared" ref="F35:F47" si="1">E35/B35</f>
        <v>1.002261396011396E-2</v>
      </c>
      <c r="G35" s="66" t="str">
        <f t="shared" ref="G35:G46" si="2">IF(F35&lt;=$C$20,"Pass","Fail")</f>
        <v>Pass</v>
      </c>
      <c r="H35" s="69" t="s">
        <v>430</v>
      </c>
      <c r="I35" s="67">
        <v>4</v>
      </c>
      <c r="J35" s="70">
        <f>I35</f>
        <v>4</v>
      </c>
      <c r="K35" s="66" t="str">
        <f t="shared" ref="K35:K46" si="3">IF(J35&lt;=$C$21,"Pass","Fail")</f>
        <v>Pass</v>
      </c>
      <c r="L35" s="66" t="str">
        <f t="shared" ref="L35:L46" si="4">IF(OR(G35="Fail",H35&lt;&gt;"Yes",K35="Fail"),"Yes","No")</f>
        <v>No</v>
      </c>
      <c r="M35" s="70">
        <f t="shared" ref="M35:M46" si="5">IF(L35="Yes",0,B35)</f>
        <v>780</v>
      </c>
      <c r="N35" s="71">
        <f t="shared" ref="N35:N46" si="6">(C35+D35)*$C$30</f>
        <v>5.9702977620000004</v>
      </c>
    </row>
    <row r="36" spans="1:14" x14ac:dyDescent="0.2">
      <c r="A36" s="66" t="s">
        <v>431</v>
      </c>
      <c r="B36" s="67">
        <v>800</v>
      </c>
      <c r="C36" s="55">
        <v>1.91</v>
      </c>
      <c r="D36" s="55">
        <v>0</v>
      </c>
      <c r="E36" s="56">
        <f t="shared" si="0"/>
        <v>7.9848611111111101</v>
      </c>
      <c r="F36" s="68">
        <f t="shared" si="1"/>
        <v>9.9810763888888883E-3</v>
      </c>
      <c r="G36" s="66" t="str">
        <f t="shared" si="2"/>
        <v>Pass</v>
      </c>
      <c r="H36" s="69" t="s">
        <v>430</v>
      </c>
      <c r="I36" s="67">
        <v>4</v>
      </c>
      <c r="J36" s="70">
        <f t="shared" ref="J36:J46" si="7">J35+I36</f>
        <v>8</v>
      </c>
      <c r="K36" s="66" t="str">
        <f t="shared" si="3"/>
        <v>Pass</v>
      </c>
      <c r="L36" s="66" t="str">
        <f t="shared" si="4"/>
        <v>No</v>
      </c>
      <c r="M36" s="70">
        <f t="shared" si="5"/>
        <v>800</v>
      </c>
      <c r="N36" s="71">
        <f t="shared" si="6"/>
        <v>6.0980046659999996</v>
      </c>
    </row>
    <row r="37" spans="1:14" x14ac:dyDescent="0.2">
      <c r="A37" s="66" t="s">
        <v>432</v>
      </c>
      <c r="B37" s="67">
        <v>900</v>
      </c>
      <c r="C37" s="55">
        <v>2.15</v>
      </c>
      <c r="D37" s="55">
        <v>6</v>
      </c>
      <c r="E37" s="56">
        <f t="shared" si="0"/>
        <v>8.9881944444444439</v>
      </c>
      <c r="F37" s="68">
        <f t="shared" si="1"/>
        <v>9.986882716049382E-3</v>
      </c>
      <c r="G37" s="66" t="str">
        <f t="shared" si="2"/>
        <v>Pass</v>
      </c>
      <c r="H37" s="69" t="s">
        <v>430</v>
      </c>
      <c r="I37" s="67">
        <v>4</v>
      </c>
      <c r="J37" s="70">
        <f t="shared" si="7"/>
        <v>12</v>
      </c>
      <c r="K37" s="66" t="str">
        <f t="shared" si="3"/>
        <v>Pass</v>
      </c>
      <c r="L37" s="66" t="str">
        <f t="shared" si="4"/>
        <v>No</v>
      </c>
      <c r="M37" s="70">
        <f t="shared" si="5"/>
        <v>900</v>
      </c>
      <c r="N37" s="71">
        <f t="shared" si="6"/>
        <v>26.020281690000001</v>
      </c>
    </row>
    <row r="38" spans="1:14" x14ac:dyDescent="0.2">
      <c r="A38" s="66" t="s">
        <v>433</v>
      </c>
      <c r="B38" s="67">
        <v>920</v>
      </c>
      <c r="C38" s="55">
        <v>2.2000000000000002</v>
      </c>
      <c r="D38" s="55">
        <v>0</v>
      </c>
      <c r="E38" s="56">
        <f t="shared" si="0"/>
        <v>9.1972222222222211</v>
      </c>
      <c r="F38" s="68">
        <f t="shared" si="1"/>
        <v>9.9969806763285009E-3</v>
      </c>
      <c r="G38" s="66" t="str">
        <f t="shared" si="2"/>
        <v>Pass</v>
      </c>
      <c r="H38" s="69" t="s">
        <v>430</v>
      </c>
      <c r="I38" s="67">
        <v>4</v>
      </c>
      <c r="J38" s="70">
        <f t="shared" si="7"/>
        <v>16</v>
      </c>
      <c r="K38" s="66" t="str">
        <f t="shared" si="3"/>
        <v>Pass</v>
      </c>
      <c r="L38" s="66" t="str">
        <f t="shared" si="4"/>
        <v>No</v>
      </c>
      <c r="M38" s="70">
        <f t="shared" si="5"/>
        <v>920</v>
      </c>
      <c r="N38" s="71">
        <f t="shared" si="6"/>
        <v>7.02387972</v>
      </c>
    </row>
    <row r="39" spans="1:14" x14ac:dyDescent="0.2">
      <c r="A39" s="66" t="s">
        <v>434</v>
      </c>
      <c r="B39" s="67">
        <v>900</v>
      </c>
      <c r="C39" s="55">
        <v>2.15</v>
      </c>
      <c r="D39" s="55">
        <v>0</v>
      </c>
      <c r="E39" s="56">
        <f t="shared" si="0"/>
        <v>8.9881944444444439</v>
      </c>
      <c r="F39" s="68">
        <f t="shared" si="1"/>
        <v>9.986882716049382E-3</v>
      </c>
      <c r="G39" s="66" t="str">
        <f t="shared" si="2"/>
        <v>Pass</v>
      </c>
      <c r="H39" s="69" t="s">
        <v>430</v>
      </c>
      <c r="I39" s="67">
        <v>4</v>
      </c>
      <c r="J39" s="70">
        <f t="shared" si="7"/>
        <v>20</v>
      </c>
      <c r="K39" s="66" t="str">
        <f t="shared" si="3"/>
        <v>Pass</v>
      </c>
      <c r="L39" s="66" t="str">
        <f t="shared" si="4"/>
        <v>No</v>
      </c>
      <c r="M39" s="70">
        <f t="shared" si="5"/>
        <v>900</v>
      </c>
      <c r="N39" s="71">
        <f t="shared" si="6"/>
        <v>6.8642460899999991</v>
      </c>
    </row>
    <row r="40" spans="1:14" x14ac:dyDescent="0.2">
      <c r="A40" s="66" t="s">
        <v>435</v>
      </c>
      <c r="B40" s="67">
        <v>820</v>
      </c>
      <c r="C40" s="55">
        <v>1.96</v>
      </c>
      <c r="D40" s="55">
        <v>0</v>
      </c>
      <c r="E40" s="56">
        <f t="shared" si="0"/>
        <v>8.1938888888888872</v>
      </c>
      <c r="F40" s="68">
        <f t="shared" si="1"/>
        <v>9.9925474254742522E-3</v>
      </c>
      <c r="G40" s="66" t="str">
        <f t="shared" si="2"/>
        <v>Pass</v>
      </c>
      <c r="H40" s="69" t="s">
        <v>430</v>
      </c>
      <c r="I40" s="67">
        <v>6</v>
      </c>
      <c r="J40" s="70">
        <f t="shared" si="7"/>
        <v>26</v>
      </c>
      <c r="K40" s="66" t="str">
        <f t="shared" si="3"/>
        <v>Pass</v>
      </c>
      <c r="L40" s="66" t="str">
        <f t="shared" si="4"/>
        <v>No</v>
      </c>
      <c r="M40" s="70">
        <f t="shared" si="5"/>
        <v>820</v>
      </c>
      <c r="N40" s="71">
        <f t="shared" si="6"/>
        <v>6.2576382959999997</v>
      </c>
    </row>
    <row r="41" spans="1:14" x14ac:dyDescent="0.2">
      <c r="A41" s="66" t="s">
        <v>436</v>
      </c>
      <c r="B41" s="67">
        <v>700</v>
      </c>
      <c r="C41" s="55">
        <v>17.079999999999998</v>
      </c>
      <c r="D41" s="55">
        <v>0</v>
      </c>
      <c r="E41" s="56">
        <f t="shared" si="0"/>
        <v>71.403888888888886</v>
      </c>
      <c r="F41" s="68">
        <f t="shared" si="1"/>
        <v>0.10200555555555556</v>
      </c>
      <c r="G41" s="66" t="str">
        <f t="shared" si="2"/>
        <v>Fail</v>
      </c>
      <c r="H41" s="69" t="s">
        <v>430</v>
      </c>
      <c r="I41" s="67">
        <v>38</v>
      </c>
      <c r="J41" s="70">
        <f t="shared" si="7"/>
        <v>64</v>
      </c>
      <c r="K41" s="66" t="str">
        <f t="shared" si="3"/>
        <v>Pass</v>
      </c>
      <c r="L41" s="66" t="str">
        <f t="shared" si="4"/>
        <v>Yes</v>
      </c>
      <c r="M41" s="70">
        <f t="shared" si="5"/>
        <v>0</v>
      </c>
      <c r="N41" s="71">
        <f t="shared" si="6"/>
        <v>54.530848007999992</v>
      </c>
    </row>
    <row r="42" spans="1:14" x14ac:dyDescent="0.2">
      <c r="A42" s="66" t="s">
        <v>437</v>
      </c>
      <c r="B42" s="67">
        <v>740</v>
      </c>
      <c r="C42" s="55">
        <v>1.77</v>
      </c>
      <c r="D42" s="55">
        <v>0</v>
      </c>
      <c r="E42" s="56">
        <f t="shared" si="0"/>
        <v>7.3995833333333323</v>
      </c>
      <c r="F42" s="68">
        <f t="shared" si="1"/>
        <v>9.9994369369369347E-3</v>
      </c>
      <c r="G42" s="66" t="str">
        <f t="shared" si="2"/>
        <v>Pass</v>
      </c>
      <c r="H42" s="69" t="s">
        <v>430</v>
      </c>
      <c r="I42" s="67">
        <v>6</v>
      </c>
      <c r="J42" s="70">
        <f t="shared" si="7"/>
        <v>70</v>
      </c>
      <c r="K42" s="66" t="str">
        <f t="shared" si="3"/>
        <v>Pass</v>
      </c>
      <c r="L42" s="66" t="str">
        <f t="shared" si="4"/>
        <v>No</v>
      </c>
      <c r="M42" s="70">
        <f t="shared" si="5"/>
        <v>740</v>
      </c>
      <c r="N42" s="71">
        <f t="shared" si="6"/>
        <v>5.6510305020000002</v>
      </c>
    </row>
    <row r="43" spans="1:14" x14ac:dyDescent="0.2">
      <c r="A43" s="66" t="s">
        <v>438</v>
      </c>
      <c r="B43" s="67">
        <v>820</v>
      </c>
      <c r="C43" s="55">
        <v>1.96</v>
      </c>
      <c r="D43" s="55">
        <v>0</v>
      </c>
      <c r="E43" s="56">
        <f t="shared" si="0"/>
        <v>8.1938888888888872</v>
      </c>
      <c r="F43" s="68">
        <f t="shared" si="1"/>
        <v>9.9925474254742522E-3</v>
      </c>
      <c r="G43" s="66" t="str">
        <f t="shared" si="2"/>
        <v>Pass</v>
      </c>
      <c r="H43" s="69" t="s">
        <v>430</v>
      </c>
      <c r="I43" s="67">
        <v>4</v>
      </c>
      <c r="J43" s="70">
        <f t="shared" si="7"/>
        <v>74</v>
      </c>
      <c r="K43" s="66" t="str">
        <f t="shared" si="3"/>
        <v>Pass</v>
      </c>
      <c r="L43" s="66" t="str">
        <f t="shared" si="4"/>
        <v>No</v>
      </c>
      <c r="M43" s="70">
        <f t="shared" si="5"/>
        <v>820</v>
      </c>
      <c r="N43" s="71">
        <f t="shared" si="6"/>
        <v>6.2576382959999997</v>
      </c>
    </row>
    <row r="44" spans="1:14" x14ac:dyDescent="0.2">
      <c r="A44" s="66" t="s">
        <v>439</v>
      </c>
      <c r="B44" s="67">
        <v>880</v>
      </c>
      <c r="C44" s="55">
        <v>2.1</v>
      </c>
      <c r="D44" s="55">
        <v>0</v>
      </c>
      <c r="E44" s="56">
        <f t="shared" si="0"/>
        <v>8.779166666666665</v>
      </c>
      <c r="F44" s="68">
        <f t="shared" si="1"/>
        <v>9.976325757575755E-3</v>
      </c>
      <c r="G44" s="66" t="str">
        <f t="shared" si="2"/>
        <v>Pass</v>
      </c>
      <c r="H44" s="69" t="s">
        <v>430</v>
      </c>
      <c r="I44" s="67">
        <v>4</v>
      </c>
      <c r="J44" s="70">
        <f t="shared" si="7"/>
        <v>78</v>
      </c>
      <c r="K44" s="66" t="str">
        <f t="shared" si="3"/>
        <v>Pass</v>
      </c>
      <c r="L44" s="66" t="str">
        <f t="shared" si="4"/>
        <v>No</v>
      </c>
      <c r="M44" s="70">
        <f t="shared" si="5"/>
        <v>880</v>
      </c>
      <c r="N44" s="71">
        <f t="shared" si="6"/>
        <v>6.7046124599999999</v>
      </c>
    </row>
    <row r="45" spans="1:14" x14ac:dyDescent="0.2">
      <c r="A45" s="66" t="s">
        <v>440</v>
      </c>
      <c r="B45" s="67">
        <v>860</v>
      </c>
      <c r="C45" s="55">
        <v>2.06</v>
      </c>
      <c r="D45" s="55">
        <v>0</v>
      </c>
      <c r="E45" s="56">
        <f t="shared" si="0"/>
        <v>8.6119444444444433</v>
      </c>
      <c r="F45" s="68">
        <f t="shared" si="1"/>
        <v>1.0013888888888888E-2</v>
      </c>
      <c r="G45" s="66" t="str">
        <f t="shared" si="2"/>
        <v>Pass</v>
      </c>
      <c r="H45" s="69" t="s">
        <v>430</v>
      </c>
      <c r="I45" s="67">
        <v>4</v>
      </c>
      <c r="J45" s="70">
        <f t="shared" si="7"/>
        <v>82</v>
      </c>
      <c r="K45" s="66" t="str">
        <f t="shared" si="3"/>
        <v>Pass</v>
      </c>
      <c r="L45" s="66" t="str">
        <f t="shared" si="4"/>
        <v>No</v>
      </c>
      <c r="M45" s="70">
        <f t="shared" si="5"/>
        <v>860</v>
      </c>
      <c r="N45" s="71">
        <f t="shared" si="6"/>
        <v>6.5769055559999998</v>
      </c>
    </row>
    <row r="46" spans="1:14" x14ac:dyDescent="0.2">
      <c r="A46" s="66" t="s">
        <v>441</v>
      </c>
      <c r="B46" s="67">
        <v>880</v>
      </c>
      <c r="C46" s="55">
        <v>2.1</v>
      </c>
      <c r="D46" s="55">
        <v>0</v>
      </c>
      <c r="E46" s="56">
        <f t="shared" si="0"/>
        <v>8.779166666666665</v>
      </c>
      <c r="F46" s="68">
        <f t="shared" si="1"/>
        <v>9.976325757575755E-3</v>
      </c>
      <c r="G46" s="66" t="str">
        <f t="shared" si="2"/>
        <v>Pass</v>
      </c>
      <c r="H46" s="69" t="s">
        <v>430</v>
      </c>
      <c r="I46" s="67">
        <v>4</v>
      </c>
      <c r="J46" s="70">
        <f t="shared" si="7"/>
        <v>86</v>
      </c>
      <c r="K46" s="66" t="str">
        <f t="shared" si="3"/>
        <v>Pass</v>
      </c>
      <c r="L46" s="66" t="str">
        <f t="shared" si="4"/>
        <v>No</v>
      </c>
      <c r="M46" s="70">
        <f t="shared" si="5"/>
        <v>880</v>
      </c>
      <c r="N46" s="71">
        <f t="shared" si="6"/>
        <v>6.7046124599999999</v>
      </c>
    </row>
    <row r="47" spans="1:14" x14ac:dyDescent="0.2">
      <c r="A47" s="58" t="s">
        <v>442</v>
      </c>
      <c r="B47" s="72">
        <f>SUM(B35:B46)</f>
        <v>10000</v>
      </c>
      <c r="C47" s="59">
        <f>SUM(C35:C46)</f>
        <v>39.31</v>
      </c>
      <c r="D47" s="59">
        <f>SUM(D35:D46)</f>
        <v>6</v>
      </c>
      <c r="E47" s="59">
        <f>SUM(E35:E46)</f>
        <v>164.3376388888889</v>
      </c>
      <c r="F47" s="73">
        <f t="shared" si="1"/>
        <v>1.643376388888889E-2</v>
      </c>
      <c r="M47" s="72">
        <f>SUM(M35:M46)</f>
        <v>9300</v>
      </c>
      <c r="N47" s="74">
        <f>SUM(N35:N46)</f>
        <v>144.659995506</v>
      </c>
    </row>
    <row r="49" spans="1:14" ht="40.5" customHeight="1" x14ac:dyDescent="0.2">
      <c r="A49" s="96" t="s">
        <v>443</v>
      </c>
      <c r="B49" s="96"/>
      <c r="C49" s="96"/>
      <c r="D49" s="96"/>
      <c r="E49" s="96"/>
      <c r="F49" s="96"/>
      <c r="G49" s="96"/>
      <c r="H49" s="96"/>
      <c r="I49" s="96"/>
      <c r="J49" s="96"/>
      <c r="K49" s="96"/>
      <c r="L49" s="96"/>
      <c r="M49" s="96"/>
      <c r="N49" s="96"/>
    </row>
    <row r="50" spans="1:14" s="23" customFormat="1" ht="15" customHeight="1" x14ac:dyDescent="0.2">
      <c r="A50" s="29" t="s">
        <v>228</v>
      </c>
      <c r="B50" s="29" t="s">
        <v>123</v>
      </c>
      <c r="C50" s="29" t="s">
        <v>49</v>
      </c>
      <c r="D50" s="29" t="s">
        <v>50</v>
      </c>
      <c r="E50" s="105" t="s">
        <v>201</v>
      </c>
      <c r="F50" s="105"/>
      <c r="G50" s="105"/>
      <c r="H50" s="105"/>
      <c r="I50" s="105"/>
      <c r="J50" s="105"/>
      <c r="K50" s="105"/>
      <c r="L50" s="105"/>
      <c r="M50" s="105"/>
      <c r="N50" s="105"/>
    </row>
    <row r="51" spans="1:14" ht="13.5" customHeight="1" x14ac:dyDescent="0.2">
      <c r="A51" s="30" t="s">
        <v>444</v>
      </c>
      <c r="B51" s="30" t="s">
        <v>445</v>
      </c>
      <c r="C51" s="39">
        <f>M47</f>
        <v>9300</v>
      </c>
      <c r="D51" s="30" t="s">
        <v>183</v>
      </c>
      <c r="E51" s="103" t="s">
        <v>446</v>
      </c>
      <c r="F51" s="103"/>
      <c r="G51" s="103"/>
      <c r="H51" s="103"/>
      <c r="I51" s="103"/>
      <c r="J51" s="103"/>
      <c r="K51" s="103"/>
      <c r="L51" s="103"/>
      <c r="M51" s="103"/>
      <c r="N51" s="103"/>
    </row>
    <row r="52" spans="1:14" ht="13.5" customHeight="1" x14ac:dyDescent="0.2">
      <c r="A52" s="30" t="s">
        <v>447</v>
      </c>
      <c r="B52" s="30" t="s">
        <v>448</v>
      </c>
      <c r="C52" s="39">
        <f>C51*C31</f>
        <v>5022</v>
      </c>
      <c r="D52" s="30" t="s">
        <v>207</v>
      </c>
      <c r="E52" s="103" t="s">
        <v>449</v>
      </c>
      <c r="F52" s="103"/>
      <c r="G52" s="103"/>
      <c r="H52" s="103"/>
      <c r="I52" s="103"/>
      <c r="J52" s="103"/>
      <c r="K52" s="103"/>
      <c r="L52" s="103"/>
      <c r="M52" s="103"/>
      <c r="N52" s="103"/>
    </row>
    <row r="53" spans="1:14" ht="13.5" customHeight="1" x14ac:dyDescent="0.2">
      <c r="A53" s="30" t="s">
        <v>209</v>
      </c>
      <c r="B53" s="30" t="s">
        <v>210</v>
      </c>
      <c r="C53" s="39">
        <f>C52</f>
        <v>5022</v>
      </c>
      <c r="D53" s="30" t="s">
        <v>207</v>
      </c>
      <c r="E53" s="103" t="s">
        <v>211</v>
      </c>
      <c r="F53" s="103"/>
      <c r="G53" s="103"/>
      <c r="H53" s="103"/>
      <c r="I53" s="103"/>
      <c r="J53" s="103"/>
      <c r="K53" s="103"/>
      <c r="L53" s="103"/>
      <c r="M53" s="103"/>
      <c r="N53" s="103"/>
    </row>
    <row r="54" spans="1:14" ht="13.5" customHeight="1" x14ac:dyDescent="0.2">
      <c r="A54" s="30" t="s">
        <v>212</v>
      </c>
      <c r="B54" s="30" t="s">
        <v>213</v>
      </c>
      <c r="C54" s="39">
        <f>C53</f>
        <v>5022</v>
      </c>
      <c r="D54" s="30" t="s">
        <v>207</v>
      </c>
      <c r="E54" s="103" t="s">
        <v>214</v>
      </c>
      <c r="F54" s="103"/>
      <c r="G54" s="103"/>
      <c r="H54" s="103"/>
      <c r="I54" s="103"/>
      <c r="J54" s="103"/>
      <c r="K54" s="103"/>
      <c r="L54" s="103"/>
      <c r="M54" s="103"/>
      <c r="N54" s="103"/>
    </row>
    <row r="55" spans="1:14" ht="13.5" customHeight="1" x14ac:dyDescent="0.2">
      <c r="A55" s="30" t="s">
        <v>215</v>
      </c>
      <c r="B55" s="30" t="s">
        <v>216</v>
      </c>
      <c r="C55" s="39">
        <f>C54*(1-C14)</f>
        <v>4876.3620000000001</v>
      </c>
      <c r="D55" s="30" t="s">
        <v>207</v>
      </c>
      <c r="E55" s="103" t="s">
        <v>217</v>
      </c>
      <c r="F55" s="103"/>
      <c r="G55" s="103"/>
      <c r="H55" s="103"/>
      <c r="I55" s="103"/>
      <c r="J55" s="103"/>
      <c r="K55" s="103"/>
      <c r="L55" s="103"/>
      <c r="M55" s="103"/>
      <c r="N55" s="103"/>
    </row>
    <row r="56" spans="1:14" ht="13.5" customHeight="1" x14ac:dyDescent="0.2">
      <c r="A56" s="30" t="s">
        <v>218</v>
      </c>
      <c r="B56" s="30" t="s">
        <v>219</v>
      </c>
      <c r="C56" s="39">
        <f>C54</f>
        <v>5022</v>
      </c>
      <c r="D56" s="30" t="s">
        <v>207</v>
      </c>
      <c r="E56" s="103" t="s">
        <v>220</v>
      </c>
      <c r="F56" s="103"/>
      <c r="G56" s="103"/>
      <c r="H56" s="103"/>
      <c r="I56" s="103"/>
      <c r="J56" s="103"/>
      <c r="K56" s="103"/>
      <c r="L56" s="103"/>
      <c r="M56" s="103"/>
      <c r="N56" s="103"/>
    </row>
    <row r="57" spans="1:14" ht="13.5" customHeight="1" x14ac:dyDescent="0.2">
      <c r="A57" s="44" t="s">
        <v>221</v>
      </c>
      <c r="B57" s="44" t="s">
        <v>222</v>
      </c>
      <c r="C57" s="45">
        <f>MIN(C55,C56)*C15</f>
        <v>4876.3620000000001</v>
      </c>
      <c r="D57" s="44" t="s">
        <v>207</v>
      </c>
      <c r="E57" s="102" t="s">
        <v>223</v>
      </c>
      <c r="F57" s="102"/>
      <c r="G57" s="102"/>
      <c r="H57" s="102"/>
      <c r="I57" s="102"/>
      <c r="J57" s="102"/>
      <c r="K57" s="102"/>
      <c r="L57" s="102"/>
      <c r="M57" s="102"/>
      <c r="N57" s="102"/>
    </row>
    <row r="58" spans="1:14" ht="27" customHeight="1" x14ac:dyDescent="0.2">
      <c r="A58" s="30" t="s">
        <v>224</v>
      </c>
      <c r="B58" s="30" t="s">
        <v>225</v>
      </c>
      <c r="C58" s="39">
        <f>C56-C57</f>
        <v>145.63799999999992</v>
      </c>
      <c r="D58" s="30" t="s">
        <v>207</v>
      </c>
      <c r="E58" s="103" t="s">
        <v>226</v>
      </c>
      <c r="F58" s="103"/>
      <c r="G58" s="103"/>
      <c r="H58" s="103"/>
      <c r="I58" s="103"/>
      <c r="J58" s="103"/>
      <c r="K58" s="103"/>
      <c r="L58" s="103"/>
      <c r="M58" s="103"/>
      <c r="N58" s="103"/>
    </row>
    <row r="59" spans="1:14" ht="13.5" customHeight="1" x14ac:dyDescent="0.2">
      <c r="A59" s="30" t="s">
        <v>450</v>
      </c>
      <c r="B59" s="30" t="s">
        <v>451</v>
      </c>
      <c r="C59" s="39">
        <f>N47</f>
        <v>144.659995506</v>
      </c>
      <c r="D59" s="30" t="s">
        <v>207</v>
      </c>
      <c r="E59" s="103" t="s">
        <v>452</v>
      </c>
      <c r="F59" s="103"/>
      <c r="G59" s="103"/>
      <c r="H59" s="103"/>
      <c r="I59" s="103"/>
      <c r="J59" s="103"/>
      <c r="K59" s="103"/>
      <c r="L59" s="103"/>
      <c r="M59" s="103"/>
      <c r="N59" s="103"/>
    </row>
    <row r="60" spans="1:14" ht="13.5" customHeight="1" x14ac:dyDescent="0.2">
      <c r="A60" s="30" t="s">
        <v>232</v>
      </c>
      <c r="B60" s="30" t="s">
        <v>233</v>
      </c>
      <c r="C60" s="39">
        <f>C57-C59</f>
        <v>4731.702004494</v>
      </c>
      <c r="D60" s="30" t="s">
        <v>207</v>
      </c>
      <c r="E60" s="103" t="s">
        <v>234</v>
      </c>
      <c r="F60" s="103"/>
      <c r="G60" s="103"/>
      <c r="H60" s="103"/>
      <c r="I60" s="103"/>
      <c r="J60" s="103"/>
      <c r="K60" s="103"/>
      <c r="L60" s="103"/>
      <c r="M60" s="103"/>
      <c r="N60" s="103"/>
    </row>
    <row r="61" spans="1:14" ht="27" customHeight="1" x14ac:dyDescent="0.2">
      <c r="A61" s="30" t="s">
        <v>453</v>
      </c>
      <c r="B61" s="30" t="s">
        <v>454</v>
      </c>
      <c r="C61" s="39">
        <f>C8*C23/MIN(C25,C27)+C9*C24/MIN(C26,C27)</f>
        <v>632</v>
      </c>
      <c r="D61" s="30" t="s">
        <v>207</v>
      </c>
      <c r="E61" s="103" t="s">
        <v>455</v>
      </c>
      <c r="F61" s="103"/>
      <c r="G61" s="103"/>
      <c r="H61" s="103"/>
      <c r="I61" s="103"/>
      <c r="J61" s="103"/>
      <c r="K61" s="103"/>
      <c r="L61" s="103"/>
      <c r="M61" s="103"/>
      <c r="N61" s="103"/>
    </row>
    <row r="62" spans="1:14" ht="13.5" customHeight="1" x14ac:dyDescent="0.2">
      <c r="A62" s="30" t="s">
        <v>244</v>
      </c>
      <c r="B62" s="30" t="s">
        <v>245</v>
      </c>
      <c r="C62" s="39">
        <f>C60-C61</f>
        <v>4099.702004494</v>
      </c>
      <c r="D62" s="30" t="s">
        <v>207</v>
      </c>
      <c r="E62" s="103" t="s">
        <v>375</v>
      </c>
      <c r="F62" s="103"/>
      <c r="G62" s="103"/>
      <c r="H62" s="103"/>
      <c r="I62" s="103"/>
      <c r="J62" s="103"/>
      <c r="K62" s="103"/>
      <c r="L62" s="103"/>
      <c r="M62" s="103"/>
      <c r="N62" s="103"/>
    </row>
    <row r="63" spans="1:14" ht="13.5" customHeight="1" x14ac:dyDescent="0.2">
      <c r="A63" s="44" t="s">
        <v>247</v>
      </c>
      <c r="B63" s="44" t="s">
        <v>248</v>
      </c>
      <c r="C63" s="45">
        <f>MAX(0,C62)</f>
        <v>4099.702004494</v>
      </c>
      <c r="D63" s="44" t="s">
        <v>207</v>
      </c>
      <c r="E63" s="102" t="s">
        <v>306</v>
      </c>
      <c r="F63" s="102"/>
      <c r="G63" s="102"/>
      <c r="H63" s="102"/>
      <c r="I63" s="102"/>
      <c r="J63" s="102"/>
      <c r="K63" s="102"/>
      <c r="L63" s="102"/>
      <c r="M63" s="102"/>
      <c r="N63" s="102"/>
    </row>
  </sheetData>
  <mergeCells count="40">
    <mergeCell ref="E10:N10"/>
    <mergeCell ref="A4:N4"/>
    <mergeCell ref="A5:N5"/>
    <mergeCell ref="E7:N7"/>
    <mergeCell ref="E8:N8"/>
    <mergeCell ref="E9:N9"/>
    <mergeCell ref="E23:N23"/>
    <mergeCell ref="E12:N12"/>
    <mergeCell ref="E13:N13"/>
    <mergeCell ref="E14:N14"/>
    <mergeCell ref="E15:N15"/>
    <mergeCell ref="E16:N16"/>
    <mergeCell ref="E17:N17"/>
    <mergeCell ref="E18:N18"/>
    <mergeCell ref="E19:N19"/>
    <mergeCell ref="E20:N20"/>
    <mergeCell ref="E21:N21"/>
    <mergeCell ref="E22:N22"/>
    <mergeCell ref="E53:N53"/>
    <mergeCell ref="E24:N24"/>
    <mergeCell ref="E25:N25"/>
    <mergeCell ref="E26:N26"/>
    <mergeCell ref="E27:N27"/>
    <mergeCell ref="E29:N29"/>
    <mergeCell ref="E30:N30"/>
    <mergeCell ref="E31:N31"/>
    <mergeCell ref="A49:N49"/>
    <mergeCell ref="E50:N50"/>
    <mergeCell ref="E51:N51"/>
    <mergeCell ref="E52:N52"/>
    <mergeCell ref="E60:N60"/>
    <mergeCell ref="E61:N61"/>
    <mergeCell ref="E62:N62"/>
    <mergeCell ref="E63:N63"/>
    <mergeCell ref="E54:N54"/>
    <mergeCell ref="E55:N55"/>
    <mergeCell ref="E56:N56"/>
    <mergeCell ref="E57:N57"/>
    <mergeCell ref="E58:N58"/>
    <mergeCell ref="E59:N59"/>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5327B-6259-42AB-9FF2-E7B71EA71E28}">
  <sheetPr>
    <pageSetUpPr fitToPage="1"/>
  </sheetPr>
  <dimension ref="A1:E54"/>
  <sheetViews>
    <sheetView showGridLines="0" zoomScaleNormal="100" workbookViewId="0">
      <selection sqref="A1:XFD1"/>
    </sheetView>
  </sheetViews>
  <sheetFormatPr baseColWidth="10" defaultColWidth="8.6640625" defaultRowHeight="16" x14ac:dyDescent="0.2"/>
  <cols>
    <col min="1" max="1" width="46" style="19" customWidth="1"/>
    <col min="2" max="2" width="24" style="19" customWidth="1"/>
    <col min="3" max="3" width="16" style="19" customWidth="1"/>
    <col min="4" max="4" width="18" style="19" customWidth="1"/>
    <col min="5" max="5" width="74" style="19" customWidth="1"/>
    <col min="6" max="16384" width="8.6640625" style="19"/>
  </cols>
  <sheetData>
    <row r="1" spans="1:5" s="90" customFormat="1" ht="25" x14ac:dyDescent="0.25">
      <c r="A1" s="89" t="s">
        <v>456</v>
      </c>
    </row>
    <row r="2" spans="1:5" x14ac:dyDescent="0.2">
      <c r="A2" s="20" t="s">
        <v>457</v>
      </c>
    </row>
    <row r="4" spans="1:5" ht="79" customHeight="1" x14ac:dyDescent="0.2">
      <c r="A4" s="96" t="s">
        <v>458</v>
      </c>
      <c r="B4" s="96"/>
      <c r="C4" s="96"/>
      <c r="D4" s="96"/>
      <c r="E4" s="96"/>
    </row>
    <row r="5" spans="1:5" ht="64.5" customHeight="1" x14ac:dyDescent="0.2">
      <c r="A5" s="96" t="s">
        <v>459</v>
      </c>
      <c r="B5" s="96"/>
      <c r="C5" s="96"/>
      <c r="D5" s="96"/>
      <c r="E5" s="96"/>
    </row>
    <row r="6" spans="1:5" s="23" customFormat="1" x14ac:dyDescent="0.2">
      <c r="A6" s="21" t="s">
        <v>171</v>
      </c>
      <c r="B6" s="22"/>
      <c r="C6" s="22"/>
      <c r="D6" s="22"/>
      <c r="E6" s="22"/>
    </row>
    <row r="7" spans="1:5" ht="17" x14ac:dyDescent="0.2">
      <c r="A7" s="24" t="s">
        <v>47</v>
      </c>
      <c r="B7" s="24" t="s">
        <v>123</v>
      </c>
      <c r="C7" s="24" t="s">
        <v>49</v>
      </c>
      <c r="D7" s="24" t="s">
        <v>50</v>
      </c>
      <c r="E7" s="24" t="s">
        <v>124</v>
      </c>
    </row>
    <row r="8" spans="1:5" ht="13.5" customHeight="1" x14ac:dyDescent="0.2">
      <c r="A8" s="30" t="s">
        <v>460</v>
      </c>
      <c r="B8" s="30" t="s">
        <v>176</v>
      </c>
      <c r="C8" s="36">
        <v>10</v>
      </c>
      <c r="D8" s="30" t="s">
        <v>177</v>
      </c>
      <c r="E8" s="32" t="s">
        <v>461</v>
      </c>
    </row>
    <row r="9" spans="1:5" ht="13.5" customHeight="1" x14ac:dyDescent="0.2">
      <c r="A9" s="30" t="s">
        <v>462</v>
      </c>
      <c r="B9" s="30" t="s">
        <v>313</v>
      </c>
      <c r="C9" s="36">
        <v>20</v>
      </c>
      <c r="D9" s="30" t="s">
        <v>183</v>
      </c>
      <c r="E9" s="32" t="s">
        <v>463</v>
      </c>
    </row>
    <row r="10" spans="1:5" ht="27" customHeight="1" x14ac:dyDescent="0.2">
      <c r="A10" s="30" t="s">
        <v>464</v>
      </c>
      <c r="B10" s="30" t="s">
        <v>465</v>
      </c>
      <c r="C10" s="31">
        <v>15000</v>
      </c>
      <c r="D10" s="30" t="s">
        <v>183</v>
      </c>
      <c r="E10" s="32" t="s">
        <v>466</v>
      </c>
    </row>
    <row r="11" spans="1:5" ht="27" customHeight="1" x14ac:dyDescent="0.2">
      <c r="A11" s="30" t="s">
        <v>467</v>
      </c>
      <c r="B11" s="30" t="s">
        <v>468</v>
      </c>
      <c r="C11" s="31">
        <v>4000</v>
      </c>
      <c r="D11" s="30" t="s">
        <v>183</v>
      </c>
      <c r="E11" s="32" t="s">
        <v>469</v>
      </c>
    </row>
    <row r="12" spans="1:5" ht="13.5" customHeight="1" x14ac:dyDescent="0.2">
      <c r="A12" s="30" t="s">
        <v>315</v>
      </c>
      <c r="B12" s="30" t="s">
        <v>316</v>
      </c>
      <c r="C12" s="34">
        <v>0.85</v>
      </c>
      <c r="D12" s="30" t="s">
        <v>58</v>
      </c>
      <c r="E12" s="32" t="s">
        <v>106</v>
      </c>
    </row>
    <row r="13" spans="1:5" s="23" customFormat="1" x14ac:dyDescent="0.2">
      <c r="A13" s="21" t="s">
        <v>188</v>
      </c>
      <c r="B13" s="22"/>
      <c r="C13" s="22"/>
      <c r="D13" s="22"/>
      <c r="E13" s="22"/>
    </row>
    <row r="14" spans="1:5" ht="17" x14ac:dyDescent="0.2">
      <c r="A14" s="24" t="s">
        <v>47</v>
      </c>
      <c r="B14" s="24" t="s">
        <v>123</v>
      </c>
      <c r="C14" s="24" t="s">
        <v>49</v>
      </c>
      <c r="D14" s="24" t="s">
        <v>50</v>
      </c>
      <c r="E14" s="24" t="s">
        <v>189</v>
      </c>
    </row>
    <row r="15" spans="1:5" ht="27" customHeight="1" x14ac:dyDescent="0.2">
      <c r="A15" s="30" t="s">
        <v>190</v>
      </c>
      <c r="B15" s="30" t="s">
        <v>126</v>
      </c>
      <c r="C15" s="40">
        <f>'Host system'!$C$5</f>
        <v>0.54</v>
      </c>
      <c r="D15" s="30" t="s">
        <v>89</v>
      </c>
      <c r="E15" s="32" t="s">
        <v>191</v>
      </c>
    </row>
    <row r="16" spans="1:5" ht="13.5" customHeight="1" x14ac:dyDescent="0.2">
      <c r="A16" s="30" t="s">
        <v>128</v>
      </c>
      <c r="B16" s="30" t="s">
        <v>129</v>
      </c>
      <c r="C16" s="41">
        <f>'Host system'!$C$6</f>
        <v>2.9000000000000001E-2</v>
      </c>
      <c r="D16" s="30" t="s">
        <v>58</v>
      </c>
      <c r="E16" s="32" t="s">
        <v>191</v>
      </c>
    </row>
    <row r="17" spans="1:5" ht="13.5" customHeight="1" x14ac:dyDescent="0.2">
      <c r="A17" s="30" t="s">
        <v>56</v>
      </c>
      <c r="B17" s="30" t="s">
        <v>57</v>
      </c>
      <c r="C17" s="42">
        <f>Defaults!$C$6</f>
        <v>1</v>
      </c>
      <c r="D17" s="30" t="s">
        <v>58</v>
      </c>
      <c r="E17" s="32" t="s">
        <v>192</v>
      </c>
    </row>
    <row r="18" spans="1:5" ht="13.5" customHeight="1" x14ac:dyDescent="0.2">
      <c r="A18" s="30" t="s">
        <v>470</v>
      </c>
      <c r="B18" s="30" t="s">
        <v>132</v>
      </c>
      <c r="C18" s="40">
        <f>'Host system'!$C$7</f>
        <v>0.8</v>
      </c>
      <c r="D18" s="30" t="s">
        <v>89</v>
      </c>
      <c r="E18" s="32" t="s">
        <v>191</v>
      </c>
    </row>
    <row r="19" spans="1:5" ht="27" customHeight="1" x14ac:dyDescent="0.2">
      <c r="A19" s="30" t="s">
        <v>471</v>
      </c>
      <c r="B19" s="30" t="s">
        <v>135</v>
      </c>
      <c r="C19" s="40">
        <f>'Host system'!$C$8</f>
        <v>0.5</v>
      </c>
      <c r="D19" s="30" t="s">
        <v>89</v>
      </c>
      <c r="E19" s="32" t="s">
        <v>191</v>
      </c>
    </row>
    <row r="20" spans="1:5" ht="13.5" customHeight="1" x14ac:dyDescent="0.2">
      <c r="A20" s="30" t="s">
        <v>113</v>
      </c>
      <c r="B20" s="30" t="s">
        <v>114</v>
      </c>
      <c r="C20" s="42">
        <f>Defaults!$C$23</f>
        <v>0.9</v>
      </c>
      <c r="D20" s="30" t="s">
        <v>58</v>
      </c>
      <c r="E20" s="32" t="s">
        <v>192</v>
      </c>
    </row>
    <row r="21" spans="1:5" ht="13.5" customHeight="1" x14ac:dyDescent="0.2">
      <c r="A21" s="30" t="s">
        <v>116</v>
      </c>
      <c r="B21" s="30" t="s">
        <v>106</v>
      </c>
      <c r="C21" s="53">
        <f>Defaults!$C$24</f>
        <v>0.03</v>
      </c>
      <c r="D21" s="30" t="s">
        <v>58</v>
      </c>
      <c r="E21" s="32" t="s">
        <v>192</v>
      </c>
    </row>
    <row r="22" spans="1:5" ht="13.5" customHeight="1" x14ac:dyDescent="0.2">
      <c r="A22" s="30" t="s">
        <v>118</v>
      </c>
      <c r="B22" s="30" t="s">
        <v>106</v>
      </c>
      <c r="C22" s="43">
        <f>Defaults!$C$25</f>
        <v>10000</v>
      </c>
      <c r="D22" s="30" t="s">
        <v>119</v>
      </c>
      <c r="E22" s="32" t="s">
        <v>192</v>
      </c>
    </row>
    <row r="23" spans="1:5" ht="13.5" customHeight="1" x14ac:dyDescent="0.2">
      <c r="A23" s="30" t="s">
        <v>193</v>
      </c>
      <c r="B23" s="30" t="s">
        <v>194</v>
      </c>
      <c r="C23" s="43">
        <f>Defaults!$C$7</f>
        <v>1000</v>
      </c>
      <c r="D23" s="30" t="s">
        <v>195</v>
      </c>
      <c r="E23" s="32" t="s">
        <v>192</v>
      </c>
    </row>
    <row r="24" spans="1:5" ht="13.5" customHeight="1" x14ac:dyDescent="0.2">
      <c r="A24" s="30" t="s">
        <v>331</v>
      </c>
      <c r="B24" s="30" t="s">
        <v>332</v>
      </c>
      <c r="C24" s="43">
        <f>Defaults!$C$9</f>
        <v>99</v>
      </c>
      <c r="D24" s="30" t="s">
        <v>68</v>
      </c>
      <c r="E24" s="32" t="s">
        <v>192</v>
      </c>
    </row>
    <row r="25" spans="1:5" ht="13.5" customHeight="1" x14ac:dyDescent="0.2">
      <c r="A25" s="30" t="s">
        <v>196</v>
      </c>
      <c r="B25" s="30" t="s">
        <v>197</v>
      </c>
      <c r="C25" s="43">
        <f>Defaults!$C$13</f>
        <v>30</v>
      </c>
      <c r="D25" s="30" t="s">
        <v>54</v>
      </c>
      <c r="E25" s="32" t="s">
        <v>192</v>
      </c>
    </row>
    <row r="26" spans="1:5" ht="13.5" customHeight="1" x14ac:dyDescent="0.2">
      <c r="A26" s="30" t="s">
        <v>335</v>
      </c>
      <c r="B26" s="30" t="s">
        <v>336</v>
      </c>
      <c r="C26" s="43">
        <f>Defaults!$C$15</f>
        <v>15</v>
      </c>
      <c r="D26" s="30" t="s">
        <v>54</v>
      </c>
      <c r="E26" s="32" t="s">
        <v>192</v>
      </c>
    </row>
    <row r="27" spans="1:5" ht="13.5" customHeight="1" x14ac:dyDescent="0.2">
      <c r="A27" s="30" t="s">
        <v>52</v>
      </c>
      <c r="B27" s="30" t="s">
        <v>198</v>
      </c>
      <c r="C27" s="43">
        <f>Defaults!$C$5</f>
        <v>15</v>
      </c>
      <c r="D27" s="30" t="s">
        <v>54</v>
      </c>
      <c r="E27" s="32" t="s">
        <v>192</v>
      </c>
    </row>
    <row r="28" spans="1:5" s="23" customFormat="1" x14ac:dyDescent="0.2">
      <c r="A28" s="21" t="s">
        <v>472</v>
      </c>
      <c r="B28" s="22"/>
      <c r="C28" s="22"/>
      <c r="D28" s="22"/>
      <c r="E28" s="22"/>
    </row>
    <row r="29" spans="1:5" ht="17" x14ac:dyDescent="0.2">
      <c r="A29" s="24" t="s">
        <v>200</v>
      </c>
      <c r="B29" s="24" t="s">
        <v>123</v>
      </c>
      <c r="C29" s="24" t="s">
        <v>49</v>
      </c>
      <c r="D29" s="24" t="s">
        <v>50</v>
      </c>
      <c r="E29" s="24" t="s">
        <v>201</v>
      </c>
    </row>
    <row r="30" spans="1:5" ht="27" customHeight="1" x14ac:dyDescent="0.2">
      <c r="A30" s="30" t="s">
        <v>473</v>
      </c>
      <c r="B30" s="30" t="s">
        <v>106</v>
      </c>
      <c r="C30" s="39">
        <f>C10*(1-C21)</f>
        <v>14550</v>
      </c>
      <c r="D30" s="30" t="s">
        <v>183</v>
      </c>
      <c r="E30" s="32" t="s">
        <v>474</v>
      </c>
    </row>
    <row r="31" spans="1:5" ht="13.5" customHeight="1" x14ac:dyDescent="0.2">
      <c r="A31" s="30" t="s">
        <v>475</v>
      </c>
      <c r="B31" s="30" t="s">
        <v>476</v>
      </c>
      <c r="C31" s="39">
        <f>C30*C15</f>
        <v>7857.0000000000009</v>
      </c>
      <c r="D31" s="30" t="s">
        <v>207</v>
      </c>
      <c r="E31" s="32" t="s">
        <v>477</v>
      </c>
    </row>
    <row r="32" spans="1:5" ht="13.5" customHeight="1" x14ac:dyDescent="0.2">
      <c r="A32" s="30" t="s">
        <v>209</v>
      </c>
      <c r="B32" s="30" t="s">
        <v>210</v>
      </c>
      <c r="C32" s="39">
        <f>C31</f>
        <v>7857.0000000000009</v>
      </c>
      <c r="D32" s="30" t="s">
        <v>207</v>
      </c>
      <c r="E32" s="32" t="s">
        <v>211</v>
      </c>
    </row>
    <row r="33" spans="1:5" ht="27" customHeight="1" x14ac:dyDescent="0.2">
      <c r="A33" s="30" t="s">
        <v>212</v>
      </c>
      <c r="B33" s="30" t="s">
        <v>213</v>
      </c>
      <c r="C33" s="39">
        <f>C32</f>
        <v>7857.0000000000009</v>
      </c>
      <c r="D33" s="30" t="s">
        <v>207</v>
      </c>
      <c r="E33" s="32" t="s">
        <v>214</v>
      </c>
    </row>
    <row r="34" spans="1:5" ht="13.5" customHeight="1" x14ac:dyDescent="0.2">
      <c r="A34" s="30" t="s">
        <v>215</v>
      </c>
      <c r="B34" s="30" t="s">
        <v>216</v>
      </c>
      <c r="C34" s="39">
        <f>C33*(1-C16)</f>
        <v>7629.1470000000008</v>
      </c>
      <c r="D34" s="30" t="s">
        <v>207</v>
      </c>
      <c r="E34" s="32" t="s">
        <v>217</v>
      </c>
    </row>
    <row r="35" spans="1:5" ht="13.5" customHeight="1" x14ac:dyDescent="0.2">
      <c r="A35" s="30" t="s">
        <v>218</v>
      </c>
      <c r="B35" s="30" t="s">
        <v>219</v>
      </c>
      <c r="C35" s="39">
        <f>C33</f>
        <v>7857.0000000000009</v>
      </c>
      <c r="D35" s="30" t="s">
        <v>207</v>
      </c>
      <c r="E35" s="32" t="s">
        <v>220</v>
      </c>
    </row>
    <row r="36" spans="1:5" ht="13.5" customHeight="1" x14ac:dyDescent="0.2">
      <c r="A36" s="44" t="s">
        <v>221</v>
      </c>
      <c r="B36" s="44" t="s">
        <v>222</v>
      </c>
      <c r="C36" s="45">
        <f>MIN(C34,C35)*C17</f>
        <v>7629.1470000000008</v>
      </c>
      <c r="D36" s="44" t="s">
        <v>207</v>
      </c>
      <c r="E36" s="46" t="s">
        <v>223</v>
      </c>
    </row>
    <row r="37" spans="1:5" ht="27" customHeight="1" x14ac:dyDescent="0.2">
      <c r="A37" s="30" t="s">
        <v>224</v>
      </c>
      <c r="B37" s="30" t="s">
        <v>225</v>
      </c>
      <c r="C37" s="39">
        <f>C35-C36</f>
        <v>227.85300000000007</v>
      </c>
      <c r="D37" s="30" t="s">
        <v>207</v>
      </c>
      <c r="E37" s="32" t="s">
        <v>226</v>
      </c>
    </row>
    <row r="38" spans="1:5" s="23" customFormat="1" x14ac:dyDescent="0.2">
      <c r="A38" s="21" t="s">
        <v>478</v>
      </c>
      <c r="B38" s="22"/>
      <c r="C38" s="22"/>
      <c r="D38" s="22"/>
      <c r="E38" s="22"/>
    </row>
    <row r="39" spans="1:5" ht="17" x14ac:dyDescent="0.2">
      <c r="A39" s="24" t="s">
        <v>200</v>
      </c>
      <c r="B39" s="24" t="s">
        <v>123</v>
      </c>
      <c r="C39" s="24" t="s">
        <v>49</v>
      </c>
      <c r="D39" s="24" t="s">
        <v>50</v>
      </c>
      <c r="E39" s="24" t="s">
        <v>201</v>
      </c>
    </row>
    <row r="40" spans="1:5" ht="27" customHeight="1" x14ac:dyDescent="0.2">
      <c r="A40" s="30" t="s">
        <v>479</v>
      </c>
      <c r="B40" s="30" t="s">
        <v>106</v>
      </c>
      <c r="C40" s="39">
        <f>C11*(1-C21)</f>
        <v>3880</v>
      </c>
      <c r="D40" s="30" t="s">
        <v>183</v>
      </c>
      <c r="E40" s="32" t="s">
        <v>117</v>
      </c>
    </row>
    <row r="41" spans="1:5" ht="13.5" customHeight="1" x14ac:dyDescent="0.2">
      <c r="A41" s="30" t="s">
        <v>480</v>
      </c>
      <c r="B41" s="30" t="s">
        <v>481</v>
      </c>
      <c r="C41" s="65">
        <f>C18*C20</f>
        <v>0.72000000000000008</v>
      </c>
      <c r="D41" s="30" t="s">
        <v>89</v>
      </c>
      <c r="E41" s="32" t="s">
        <v>482</v>
      </c>
    </row>
    <row r="42" spans="1:5" ht="27" customHeight="1" x14ac:dyDescent="0.2">
      <c r="A42" s="30" t="s">
        <v>483</v>
      </c>
      <c r="B42" s="30" t="s">
        <v>484</v>
      </c>
      <c r="C42" s="65">
        <f>C19</f>
        <v>0.5</v>
      </c>
      <c r="D42" s="30" t="s">
        <v>89</v>
      </c>
      <c r="E42" s="32" t="s">
        <v>485</v>
      </c>
    </row>
    <row r="43" spans="1:5" ht="13.5" customHeight="1" x14ac:dyDescent="0.2">
      <c r="A43" s="30" t="s">
        <v>486</v>
      </c>
      <c r="B43" s="30" t="s">
        <v>487</v>
      </c>
      <c r="C43" s="39">
        <f>C40*C41*(1-C16)</f>
        <v>2712.5856000000003</v>
      </c>
      <c r="D43" s="30" t="s">
        <v>207</v>
      </c>
      <c r="E43" s="32" t="s">
        <v>488</v>
      </c>
    </row>
    <row r="44" spans="1:5" ht="13.5" customHeight="1" x14ac:dyDescent="0.2">
      <c r="A44" s="30" t="s">
        <v>489</v>
      </c>
      <c r="B44" s="30" t="s">
        <v>490</v>
      </c>
      <c r="C44" s="39">
        <f>C40*C42/C12</f>
        <v>2282.3529411764707</v>
      </c>
      <c r="D44" s="30" t="s">
        <v>207</v>
      </c>
      <c r="E44" s="32" t="s">
        <v>491</v>
      </c>
    </row>
    <row r="45" spans="1:5" ht="13.5" customHeight="1" x14ac:dyDescent="0.2">
      <c r="A45" s="44" t="s">
        <v>362</v>
      </c>
      <c r="B45" s="44" t="s">
        <v>363</v>
      </c>
      <c r="C45" s="45">
        <f>MAX(0,C43-C44)</f>
        <v>430.23265882352962</v>
      </c>
      <c r="D45" s="44" t="s">
        <v>207</v>
      </c>
      <c r="E45" s="46" t="s">
        <v>492</v>
      </c>
    </row>
    <row r="46" spans="1:5" ht="27" customHeight="1" x14ac:dyDescent="0.2">
      <c r="A46" s="30" t="s">
        <v>365</v>
      </c>
      <c r="B46" s="30" t="s">
        <v>366</v>
      </c>
      <c r="C46" s="39">
        <f>C40*C41*C16</f>
        <v>81.014400000000009</v>
      </c>
      <c r="D46" s="30" t="s">
        <v>207</v>
      </c>
      <c r="E46" s="32" t="s">
        <v>367</v>
      </c>
    </row>
    <row r="47" spans="1:5" s="23" customFormat="1" x14ac:dyDescent="0.2">
      <c r="A47" s="21" t="s">
        <v>493</v>
      </c>
      <c r="B47" s="22"/>
      <c r="C47" s="22"/>
      <c r="D47" s="22"/>
      <c r="E47" s="22"/>
    </row>
    <row r="48" spans="1:5" ht="17" x14ac:dyDescent="0.2">
      <c r="A48" s="24" t="s">
        <v>228</v>
      </c>
      <c r="B48" s="24" t="s">
        <v>123</v>
      </c>
      <c r="C48" s="24" t="s">
        <v>49</v>
      </c>
      <c r="D48" s="24" t="s">
        <v>50</v>
      </c>
      <c r="E48" s="24" t="s">
        <v>201</v>
      </c>
    </row>
    <row r="49" spans="1:5" ht="27" customHeight="1" x14ac:dyDescent="0.2">
      <c r="A49" s="30" t="s">
        <v>494</v>
      </c>
      <c r="B49" s="30" t="s">
        <v>454</v>
      </c>
      <c r="C49" s="39">
        <f>C8*C23/MIN(C25,C27)+C9*C24/MIN(C26,C27)</f>
        <v>798.66666666666663</v>
      </c>
      <c r="D49" s="30" t="s">
        <v>207</v>
      </c>
      <c r="E49" s="32" t="s">
        <v>455</v>
      </c>
    </row>
    <row r="50" spans="1:5" ht="13.5" customHeight="1" x14ac:dyDescent="0.2">
      <c r="A50" s="30" t="s">
        <v>244</v>
      </c>
      <c r="B50" s="30" t="s">
        <v>245</v>
      </c>
      <c r="C50" s="39">
        <f>C36+C45-C49</f>
        <v>7260.7129921568639</v>
      </c>
      <c r="D50" s="30" t="s">
        <v>207</v>
      </c>
      <c r="E50" s="32" t="s">
        <v>495</v>
      </c>
    </row>
    <row r="51" spans="1:5" ht="27" customHeight="1" x14ac:dyDescent="0.2">
      <c r="A51" s="44" t="s">
        <v>247</v>
      </c>
      <c r="B51" s="44" t="s">
        <v>248</v>
      </c>
      <c r="C51" s="45">
        <f>MIN(MAX(0,C50),C22)</f>
        <v>7260.7129921568639</v>
      </c>
      <c r="D51" s="44" t="s">
        <v>207</v>
      </c>
      <c r="E51" s="46" t="s">
        <v>496</v>
      </c>
    </row>
    <row r="52" spans="1:5" ht="27" customHeight="1" x14ac:dyDescent="0.2">
      <c r="A52" s="30" t="s">
        <v>497</v>
      </c>
      <c r="B52" s="30" t="s">
        <v>106</v>
      </c>
      <c r="C52" s="75" t="str">
        <f>IF(C50&lt;C22,"Micro-scale","Above threshold")</f>
        <v>Micro-scale</v>
      </c>
      <c r="D52" s="30" t="s">
        <v>106</v>
      </c>
      <c r="E52" s="32" t="s">
        <v>498</v>
      </c>
    </row>
    <row r="54" spans="1:5" ht="13.5" customHeight="1" x14ac:dyDescent="0.2">
      <c r="A54" s="96" t="s">
        <v>499</v>
      </c>
      <c r="B54" s="96"/>
      <c r="C54" s="96"/>
      <c r="D54" s="96"/>
      <c r="E54" s="96"/>
    </row>
  </sheetData>
  <mergeCells count="3">
    <mergeCell ref="A4:E4"/>
    <mergeCell ref="A5:E5"/>
    <mergeCell ref="A54:E54"/>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D4A4B-33C1-43AE-8A96-387531F75DAA}">
  <sheetPr>
    <pageSetUpPr fitToPage="1"/>
  </sheetPr>
  <dimension ref="A1:E52"/>
  <sheetViews>
    <sheetView showGridLines="0" zoomScaleNormal="100" workbookViewId="0">
      <selection activeCell="B1" sqref="A1:XFD1"/>
    </sheetView>
  </sheetViews>
  <sheetFormatPr baseColWidth="10" defaultColWidth="8.6640625" defaultRowHeight="16" x14ac:dyDescent="0.2"/>
  <cols>
    <col min="1" max="1" width="46" style="19" customWidth="1"/>
    <col min="2" max="2" width="24" style="19" customWidth="1"/>
    <col min="3" max="3" width="16" style="19" customWidth="1"/>
    <col min="4" max="4" width="18" style="19" customWidth="1"/>
    <col min="5" max="5" width="74" style="19" customWidth="1"/>
    <col min="6" max="16384" width="8.6640625" style="19"/>
  </cols>
  <sheetData>
    <row r="1" spans="1:5" s="90" customFormat="1" ht="25" x14ac:dyDescent="0.25">
      <c r="A1" s="89" t="s">
        <v>500</v>
      </c>
    </row>
    <row r="2" spans="1:5" x14ac:dyDescent="0.2">
      <c r="A2" s="20" t="s">
        <v>501</v>
      </c>
    </row>
    <row r="4" spans="1:5" ht="75.5" customHeight="1" x14ac:dyDescent="0.2">
      <c r="A4" s="96" t="s">
        <v>502</v>
      </c>
      <c r="B4" s="96"/>
      <c r="C4" s="96"/>
      <c r="D4" s="96"/>
      <c r="E4" s="96"/>
    </row>
    <row r="5" spans="1:5" ht="45.5" customHeight="1" x14ac:dyDescent="0.2">
      <c r="A5" s="96" t="s">
        <v>503</v>
      </c>
      <c r="B5" s="96"/>
      <c r="C5" s="96"/>
      <c r="D5" s="96"/>
      <c r="E5" s="96"/>
    </row>
    <row r="6" spans="1:5" s="23" customFormat="1" x14ac:dyDescent="0.2">
      <c r="A6" s="21" t="s">
        <v>171</v>
      </c>
      <c r="B6" s="22"/>
      <c r="C6" s="22"/>
      <c r="D6" s="22"/>
      <c r="E6" s="22"/>
    </row>
    <row r="7" spans="1:5" ht="17" x14ac:dyDescent="0.2">
      <c r="A7" s="24" t="s">
        <v>47</v>
      </c>
      <c r="B7" s="24" t="s">
        <v>123</v>
      </c>
      <c r="C7" s="24" t="s">
        <v>49</v>
      </c>
      <c r="D7" s="24" t="s">
        <v>50</v>
      </c>
      <c r="E7" s="24" t="s">
        <v>124</v>
      </c>
    </row>
    <row r="8" spans="1:5" ht="13.5" customHeight="1" x14ac:dyDescent="0.2">
      <c r="A8" s="30" t="s">
        <v>504</v>
      </c>
      <c r="B8" s="30" t="s">
        <v>106</v>
      </c>
      <c r="C8" s="36">
        <v>50</v>
      </c>
      <c r="D8" s="30" t="s">
        <v>173</v>
      </c>
      <c r="E8" s="32" t="s">
        <v>106</v>
      </c>
    </row>
    <row r="9" spans="1:5" ht="13.5" customHeight="1" x14ac:dyDescent="0.2">
      <c r="A9" s="30" t="s">
        <v>505</v>
      </c>
      <c r="B9" s="30" t="s">
        <v>176</v>
      </c>
      <c r="C9" s="36">
        <v>62.5</v>
      </c>
      <c r="D9" s="30" t="s">
        <v>177</v>
      </c>
      <c r="E9" s="32" t="s">
        <v>506</v>
      </c>
    </row>
    <row r="10" spans="1:5" ht="13.5" customHeight="1" x14ac:dyDescent="0.2">
      <c r="A10" s="30" t="s">
        <v>179</v>
      </c>
      <c r="B10" s="30" t="s">
        <v>106</v>
      </c>
      <c r="C10" s="34">
        <v>0.18</v>
      </c>
      <c r="D10" s="30" t="s">
        <v>58</v>
      </c>
      <c r="E10" s="32" t="s">
        <v>106</v>
      </c>
    </row>
    <row r="11" spans="1:5" ht="13.5" customHeight="1" x14ac:dyDescent="0.2">
      <c r="A11" s="30" t="s">
        <v>507</v>
      </c>
      <c r="B11" s="30" t="s">
        <v>106</v>
      </c>
      <c r="C11" s="39">
        <f>C8*C10*8760</f>
        <v>78840</v>
      </c>
      <c r="D11" s="30" t="s">
        <v>183</v>
      </c>
      <c r="E11" s="32" t="s">
        <v>352</v>
      </c>
    </row>
    <row r="12" spans="1:5" ht="13.5" customHeight="1" x14ac:dyDescent="0.2">
      <c r="A12" s="30" t="s">
        <v>508</v>
      </c>
      <c r="B12" s="30" t="s">
        <v>509</v>
      </c>
      <c r="C12" s="31">
        <v>10000</v>
      </c>
      <c r="D12" s="30" t="s">
        <v>183</v>
      </c>
      <c r="E12" s="32" t="s">
        <v>510</v>
      </c>
    </row>
    <row r="13" spans="1:5" ht="13.5" customHeight="1" x14ac:dyDescent="0.2">
      <c r="A13" s="30" t="s">
        <v>511</v>
      </c>
      <c r="B13" s="30" t="s">
        <v>313</v>
      </c>
      <c r="C13" s="36">
        <v>50</v>
      </c>
      <c r="D13" s="30" t="s">
        <v>183</v>
      </c>
      <c r="E13" s="32" t="s">
        <v>463</v>
      </c>
    </row>
    <row r="14" spans="1:5" ht="13.5" customHeight="1" x14ac:dyDescent="0.2">
      <c r="A14" s="30" t="s">
        <v>315</v>
      </c>
      <c r="B14" s="30" t="s">
        <v>316</v>
      </c>
      <c r="C14" s="34">
        <v>0.85</v>
      </c>
      <c r="D14" s="30" t="s">
        <v>58</v>
      </c>
      <c r="E14" s="32" t="s">
        <v>106</v>
      </c>
    </row>
    <row r="15" spans="1:5" s="23" customFormat="1" x14ac:dyDescent="0.2">
      <c r="A15" s="21" t="s">
        <v>188</v>
      </c>
      <c r="B15" s="22"/>
      <c r="C15" s="22"/>
      <c r="D15" s="22"/>
      <c r="E15" s="22"/>
    </row>
    <row r="16" spans="1:5" ht="17" x14ac:dyDescent="0.2">
      <c r="A16" s="24" t="s">
        <v>47</v>
      </c>
      <c r="B16" s="24" t="s">
        <v>123</v>
      </c>
      <c r="C16" s="24" t="s">
        <v>49</v>
      </c>
      <c r="D16" s="24" t="s">
        <v>50</v>
      </c>
      <c r="E16" s="24" t="s">
        <v>189</v>
      </c>
    </row>
    <row r="17" spans="1:5" ht="27" customHeight="1" x14ac:dyDescent="0.2">
      <c r="A17" s="30" t="s">
        <v>190</v>
      </c>
      <c r="B17" s="30" t="s">
        <v>126</v>
      </c>
      <c r="C17" s="40">
        <f>'Host system'!$C$5</f>
        <v>0.54</v>
      </c>
      <c r="D17" s="30" t="s">
        <v>89</v>
      </c>
      <c r="E17" s="32" t="s">
        <v>191</v>
      </c>
    </row>
    <row r="18" spans="1:5" ht="13.5" customHeight="1" x14ac:dyDescent="0.2">
      <c r="A18" s="30" t="s">
        <v>128</v>
      </c>
      <c r="B18" s="30" t="s">
        <v>129</v>
      </c>
      <c r="C18" s="41">
        <f>'Host system'!$C$6</f>
        <v>2.9000000000000001E-2</v>
      </c>
      <c r="D18" s="30" t="s">
        <v>58</v>
      </c>
      <c r="E18" s="32" t="s">
        <v>191</v>
      </c>
    </row>
    <row r="19" spans="1:5" ht="13.5" customHeight="1" x14ac:dyDescent="0.2">
      <c r="A19" s="30" t="s">
        <v>56</v>
      </c>
      <c r="B19" s="30" t="s">
        <v>57</v>
      </c>
      <c r="C19" s="42">
        <f>Defaults!$C$6</f>
        <v>1</v>
      </c>
      <c r="D19" s="30" t="s">
        <v>58</v>
      </c>
      <c r="E19" s="32" t="s">
        <v>192</v>
      </c>
    </row>
    <row r="20" spans="1:5" ht="27" customHeight="1" x14ac:dyDescent="0.2">
      <c r="A20" s="30" t="s">
        <v>137</v>
      </c>
      <c r="B20" s="30" t="s">
        <v>138</v>
      </c>
      <c r="C20" s="40">
        <f>'Host system'!$C$9</f>
        <v>0.75</v>
      </c>
      <c r="D20" s="30" t="s">
        <v>89</v>
      </c>
      <c r="E20" s="32" t="s">
        <v>191</v>
      </c>
    </row>
    <row r="21" spans="1:5" ht="13.5" customHeight="1" x14ac:dyDescent="0.2">
      <c r="A21" s="30" t="s">
        <v>193</v>
      </c>
      <c r="B21" s="30" t="s">
        <v>194</v>
      </c>
      <c r="C21" s="43">
        <f>Defaults!$C$7</f>
        <v>1000</v>
      </c>
      <c r="D21" s="30" t="s">
        <v>195</v>
      </c>
      <c r="E21" s="32" t="s">
        <v>192</v>
      </c>
    </row>
    <row r="22" spans="1:5" ht="13.5" customHeight="1" x14ac:dyDescent="0.2">
      <c r="A22" s="30" t="s">
        <v>331</v>
      </c>
      <c r="B22" s="30" t="s">
        <v>332</v>
      </c>
      <c r="C22" s="43">
        <f>Defaults!$C$9</f>
        <v>99</v>
      </c>
      <c r="D22" s="30" t="s">
        <v>68</v>
      </c>
      <c r="E22" s="32" t="s">
        <v>192</v>
      </c>
    </row>
    <row r="23" spans="1:5" ht="13.5" customHeight="1" x14ac:dyDescent="0.2">
      <c r="A23" s="30" t="s">
        <v>196</v>
      </c>
      <c r="B23" s="30" t="s">
        <v>197</v>
      </c>
      <c r="C23" s="43">
        <f>Defaults!$C$13</f>
        <v>30</v>
      </c>
      <c r="D23" s="30" t="s">
        <v>54</v>
      </c>
      <c r="E23" s="32" t="s">
        <v>192</v>
      </c>
    </row>
    <row r="24" spans="1:5" ht="13.5" customHeight="1" x14ac:dyDescent="0.2">
      <c r="A24" s="30" t="s">
        <v>335</v>
      </c>
      <c r="B24" s="30" t="s">
        <v>336</v>
      </c>
      <c r="C24" s="43">
        <f>Defaults!$C$15</f>
        <v>15</v>
      </c>
      <c r="D24" s="30" t="s">
        <v>54</v>
      </c>
      <c r="E24" s="32" t="s">
        <v>192</v>
      </c>
    </row>
    <row r="25" spans="1:5" ht="13.5" customHeight="1" x14ac:dyDescent="0.2">
      <c r="A25" s="30" t="s">
        <v>52</v>
      </c>
      <c r="B25" s="30" t="s">
        <v>198</v>
      </c>
      <c r="C25" s="43">
        <f>Defaults!$C$5</f>
        <v>15</v>
      </c>
      <c r="D25" s="30" t="s">
        <v>54</v>
      </c>
      <c r="E25" s="32" t="s">
        <v>192</v>
      </c>
    </row>
    <row r="26" spans="1:5" s="23" customFormat="1" x14ac:dyDescent="0.2">
      <c r="A26" s="21" t="s">
        <v>512</v>
      </c>
      <c r="B26" s="22"/>
      <c r="C26" s="22"/>
      <c r="D26" s="22"/>
      <c r="E26" s="22"/>
    </row>
    <row r="27" spans="1:5" ht="17" x14ac:dyDescent="0.2">
      <c r="A27" s="24" t="s">
        <v>200</v>
      </c>
      <c r="B27" s="24" t="s">
        <v>123</v>
      </c>
      <c r="C27" s="24" t="s">
        <v>49</v>
      </c>
      <c r="D27" s="24" t="s">
        <v>50</v>
      </c>
      <c r="E27" s="24" t="s">
        <v>201</v>
      </c>
    </row>
    <row r="28" spans="1:5" ht="27" customHeight="1" x14ac:dyDescent="0.2">
      <c r="A28" s="30" t="s">
        <v>513</v>
      </c>
      <c r="B28" s="30" t="s">
        <v>203</v>
      </c>
      <c r="C28" s="39">
        <f>C11-C12</f>
        <v>68840</v>
      </c>
      <c r="D28" s="30" t="s">
        <v>183</v>
      </c>
      <c r="E28" s="32" t="s">
        <v>514</v>
      </c>
    </row>
    <row r="29" spans="1:5" ht="13.5" customHeight="1" x14ac:dyDescent="0.2">
      <c r="A29" s="30" t="s">
        <v>205</v>
      </c>
      <c r="B29" s="30" t="s">
        <v>206</v>
      </c>
      <c r="C29" s="39">
        <f>C28*C17</f>
        <v>37173.600000000006</v>
      </c>
      <c r="D29" s="30" t="s">
        <v>207</v>
      </c>
      <c r="E29" s="32" t="s">
        <v>515</v>
      </c>
    </row>
    <row r="30" spans="1:5" ht="13.5" customHeight="1" x14ac:dyDescent="0.2">
      <c r="A30" s="30" t="s">
        <v>209</v>
      </c>
      <c r="B30" s="30" t="s">
        <v>210</v>
      </c>
      <c r="C30" s="39">
        <f>C29</f>
        <v>37173.600000000006</v>
      </c>
      <c r="D30" s="30" t="s">
        <v>207</v>
      </c>
      <c r="E30" s="32" t="s">
        <v>211</v>
      </c>
    </row>
    <row r="31" spans="1:5" ht="27" customHeight="1" x14ac:dyDescent="0.2">
      <c r="A31" s="30" t="s">
        <v>212</v>
      </c>
      <c r="B31" s="30" t="s">
        <v>213</v>
      </c>
      <c r="C31" s="39">
        <f>C30</f>
        <v>37173.600000000006</v>
      </c>
      <c r="D31" s="30" t="s">
        <v>207</v>
      </c>
      <c r="E31" s="32" t="s">
        <v>214</v>
      </c>
    </row>
    <row r="32" spans="1:5" ht="13.5" customHeight="1" x14ac:dyDescent="0.2">
      <c r="A32" s="30" t="s">
        <v>215</v>
      </c>
      <c r="B32" s="30" t="s">
        <v>216</v>
      </c>
      <c r="C32" s="39">
        <f>C31*(1-C18)</f>
        <v>36095.565600000002</v>
      </c>
      <c r="D32" s="30" t="s">
        <v>207</v>
      </c>
      <c r="E32" s="32" t="s">
        <v>217</v>
      </c>
    </row>
    <row r="33" spans="1:5" ht="13.5" customHeight="1" x14ac:dyDescent="0.2">
      <c r="A33" s="30" t="s">
        <v>218</v>
      </c>
      <c r="B33" s="30" t="s">
        <v>219</v>
      </c>
      <c r="C33" s="39">
        <f>C31</f>
        <v>37173.600000000006</v>
      </c>
      <c r="D33" s="30" t="s">
        <v>207</v>
      </c>
      <c r="E33" s="32" t="s">
        <v>220</v>
      </c>
    </row>
    <row r="34" spans="1:5" ht="13.5" customHeight="1" x14ac:dyDescent="0.2">
      <c r="A34" s="44" t="s">
        <v>221</v>
      </c>
      <c r="B34" s="44" t="s">
        <v>222</v>
      </c>
      <c r="C34" s="45">
        <f>MIN(C32,C33)*C19</f>
        <v>36095.565600000002</v>
      </c>
      <c r="D34" s="44" t="s">
        <v>207</v>
      </c>
      <c r="E34" s="46" t="s">
        <v>223</v>
      </c>
    </row>
    <row r="35" spans="1:5" ht="27" customHeight="1" x14ac:dyDescent="0.2">
      <c r="A35" s="30" t="s">
        <v>224</v>
      </c>
      <c r="B35" s="30" t="s">
        <v>225</v>
      </c>
      <c r="C35" s="39">
        <f>C33-C34</f>
        <v>1078.0344000000041</v>
      </c>
      <c r="D35" s="30" t="s">
        <v>207</v>
      </c>
      <c r="E35" s="32" t="s">
        <v>226</v>
      </c>
    </row>
    <row r="36" spans="1:5" s="23" customFormat="1" x14ac:dyDescent="0.2">
      <c r="A36" s="21" t="s">
        <v>516</v>
      </c>
      <c r="B36" s="22"/>
      <c r="C36" s="22"/>
      <c r="D36" s="22"/>
      <c r="E36" s="22"/>
    </row>
    <row r="37" spans="1:5" ht="17" x14ac:dyDescent="0.2">
      <c r="A37" s="24" t="s">
        <v>200</v>
      </c>
      <c r="B37" s="24" t="s">
        <v>123</v>
      </c>
      <c r="C37" s="24" t="s">
        <v>49</v>
      </c>
      <c r="D37" s="24" t="s">
        <v>50</v>
      </c>
      <c r="E37" s="24" t="s">
        <v>201</v>
      </c>
    </row>
    <row r="38" spans="1:5" ht="13.5" customHeight="1" x14ac:dyDescent="0.2">
      <c r="A38" s="30" t="s">
        <v>517</v>
      </c>
      <c r="B38" s="30" t="s">
        <v>351</v>
      </c>
      <c r="C38" s="39">
        <f>C12*C14</f>
        <v>8500</v>
      </c>
      <c r="D38" s="30" t="s">
        <v>183</v>
      </c>
      <c r="E38" s="32" t="s">
        <v>518</v>
      </c>
    </row>
    <row r="39" spans="1:5" ht="13.5" customHeight="1" x14ac:dyDescent="0.2">
      <c r="A39" s="30" t="s">
        <v>486</v>
      </c>
      <c r="B39" s="30" t="s">
        <v>487</v>
      </c>
      <c r="C39" s="39">
        <f>C38*C20*(1-C18)</f>
        <v>6190.125</v>
      </c>
      <c r="D39" s="30" t="s">
        <v>207</v>
      </c>
      <c r="E39" s="32" t="s">
        <v>519</v>
      </c>
    </row>
    <row r="40" spans="1:5" ht="27" customHeight="1" x14ac:dyDescent="0.2">
      <c r="A40" s="30" t="s">
        <v>489</v>
      </c>
      <c r="B40" s="30" t="s">
        <v>490</v>
      </c>
      <c r="C40" s="31">
        <v>0</v>
      </c>
      <c r="D40" s="30" t="s">
        <v>207</v>
      </c>
      <c r="E40" s="32" t="s">
        <v>520</v>
      </c>
    </row>
    <row r="41" spans="1:5" ht="13.5" customHeight="1" x14ac:dyDescent="0.2">
      <c r="A41" s="30" t="s">
        <v>521</v>
      </c>
      <c r="B41" s="30" t="s">
        <v>106</v>
      </c>
      <c r="C41" s="39">
        <f>MAX(0,C39-C40)</f>
        <v>6190.125</v>
      </c>
      <c r="D41" s="30" t="s">
        <v>207</v>
      </c>
      <c r="E41" s="32" t="s">
        <v>492</v>
      </c>
    </row>
    <row r="42" spans="1:5" ht="27" customHeight="1" x14ac:dyDescent="0.2">
      <c r="A42" s="30" t="s">
        <v>522</v>
      </c>
      <c r="B42" s="30" t="s">
        <v>106</v>
      </c>
      <c r="C42" s="39">
        <f>C12*C17*(1-C18)</f>
        <v>5243.4</v>
      </c>
      <c r="D42" s="30" t="s">
        <v>207</v>
      </c>
      <c r="E42" s="32" t="s">
        <v>523</v>
      </c>
    </row>
    <row r="43" spans="1:5" ht="13.5" customHeight="1" x14ac:dyDescent="0.2">
      <c r="A43" s="44" t="s">
        <v>362</v>
      </c>
      <c r="B43" s="44" t="s">
        <v>524</v>
      </c>
      <c r="C43" s="45">
        <f>MIN(C41,C42)</f>
        <v>5243.4</v>
      </c>
      <c r="D43" s="44" t="s">
        <v>207</v>
      </c>
      <c r="E43" s="46" t="s">
        <v>525</v>
      </c>
    </row>
    <row r="44" spans="1:5" ht="27" customHeight="1" x14ac:dyDescent="0.2">
      <c r="A44" s="30" t="s">
        <v>526</v>
      </c>
      <c r="B44" s="30" t="s">
        <v>106</v>
      </c>
      <c r="C44" s="39">
        <f>C41-C43</f>
        <v>946.72500000000036</v>
      </c>
      <c r="D44" s="30" t="s">
        <v>207</v>
      </c>
      <c r="E44" s="32" t="s">
        <v>527</v>
      </c>
    </row>
    <row r="45" spans="1:5" ht="27" customHeight="1" x14ac:dyDescent="0.2">
      <c r="A45" s="30" t="s">
        <v>365</v>
      </c>
      <c r="B45" s="30" t="s">
        <v>366</v>
      </c>
      <c r="C45" s="39">
        <f>C38*C20*C18</f>
        <v>184.875</v>
      </c>
      <c r="D45" s="30" t="s">
        <v>207</v>
      </c>
      <c r="E45" s="32" t="s">
        <v>367</v>
      </c>
    </row>
    <row r="46" spans="1:5" s="23" customFormat="1" x14ac:dyDescent="0.2">
      <c r="A46" s="21" t="s">
        <v>493</v>
      </c>
      <c r="B46" s="22"/>
      <c r="C46" s="22"/>
      <c r="D46" s="22"/>
      <c r="E46" s="22"/>
    </row>
    <row r="47" spans="1:5" ht="17" x14ac:dyDescent="0.2">
      <c r="A47" s="24" t="s">
        <v>228</v>
      </c>
      <c r="B47" s="24" t="s">
        <v>123</v>
      </c>
      <c r="C47" s="24" t="s">
        <v>49</v>
      </c>
      <c r="D47" s="24" t="s">
        <v>50</v>
      </c>
      <c r="E47" s="24" t="s">
        <v>201</v>
      </c>
    </row>
    <row r="48" spans="1:5" ht="27" customHeight="1" x14ac:dyDescent="0.2">
      <c r="A48" s="30" t="s">
        <v>453</v>
      </c>
      <c r="B48" s="30" t="s">
        <v>454</v>
      </c>
      <c r="C48" s="39">
        <f>C9*C21/MIN(C23,C25)+C13*C22/MIN(C24,C25)</f>
        <v>4496.666666666667</v>
      </c>
      <c r="D48" s="30" t="s">
        <v>207</v>
      </c>
      <c r="E48" s="32" t="s">
        <v>455</v>
      </c>
    </row>
    <row r="49" spans="1:5" ht="13.5" customHeight="1" x14ac:dyDescent="0.2">
      <c r="A49" s="30" t="s">
        <v>244</v>
      </c>
      <c r="B49" s="30" t="s">
        <v>245</v>
      </c>
      <c r="C49" s="39">
        <f>C34+C43-C48</f>
        <v>36842.298933333339</v>
      </c>
      <c r="D49" s="30" t="s">
        <v>207</v>
      </c>
      <c r="E49" s="32" t="s">
        <v>495</v>
      </c>
    </row>
    <row r="50" spans="1:5" ht="13.5" customHeight="1" x14ac:dyDescent="0.2">
      <c r="A50" s="44" t="s">
        <v>247</v>
      </c>
      <c r="B50" s="44" t="s">
        <v>248</v>
      </c>
      <c r="C50" s="45">
        <f>MAX(0,C49)</f>
        <v>36842.298933333339</v>
      </c>
      <c r="D50" s="44" t="s">
        <v>207</v>
      </c>
      <c r="E50" s="46" t="s">
        <v>306</v>
      </c>
    </row>
    <row r="52" spans="1:5" ht="13.5" customHeight="1" x14ac:dyDescent="0.2">
      <c r="A52" s="96" t="s">
        <v>499</v>
      </c>
      <c r="B52" s="96"/>
      <c r="C52" s="96"/>
      <c r="D52" s="96"/>
      <c r="E52" s="96"/>
    </row>
  </sheetData>
  <mergeCells count="3">
    <mergeCell ref="A4:E4"/>
    <mergeCell ref="A5:E5"/>
    <mergeCell ref="A52:E52"/>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4E793-445B-4D5B-91D9-326418E22A52}">
  <sheetPr>
    <pageSetUpPr fitToPage="1"/>
  </sheetPr>
  <dimension ref="A1:Q54"/>
  <sheetViews>
    <sheetView showGridLines="0" zoomScaleNormal="100" workbookViewId="0">
      <selection sqref="A1:XFD1"/>
    </sheetView>
  </sheetViews>
  <sheetFormatPr baseColWidth="10" defaultColWidth="8.6640625" defaultRowHeight="16" x14ac:dyDescent="0.2"/>
  <cols>
    <col min="1" max="1" width="52" style="19" customWidth="1"/>
    <col min="2" max="16" width="11" style="19" customWidth="1"/>
    <col min="17" max="17" width="13" style="19" customWidth="1"/>
    <col min="18" max="16384" width="8.6640625" style="19"/>
  </cols>
  <sheetData>
    <row r="1" spans="1:17" s="90" customFormat="1" ht="25" x14ac:dyDescent="0.25">
      <c r="A1" s="89" t="s">
        <v>528</v>
      </c>
    </row>
    <row r="2" spans="1:17" x14ac:dyDescent="0.2">
      <c r="A2" s="20" t="s">
        <v>529</v>
      </c>
    </row>
    <row r="4" spans="1:17" ht="13.5" customHeight="1" x14ac:dyDescent="0.2">
      <c r="A4" s="96" t="s">
        <v>530</v>
      </c>
      <c r="B4" s="96"/>
      <c r="C4" s="96"/>
      <c r="D4" s="96"/>
      <c r="E4" s="96"/>
      <c r="F4" s="96"/>
      <c r="G4" s="96"/>
      <c r="H4" s="96"/>
      <c r="I4" s="96"/>
      <c r="J4" s="96"/>
      <c r="K4" s="96"/>
      <c r="L4" s="96"/>
      <c r="M4" s="96"/>
      <c r="N4" s="96"/>
      <c r="O4" s="96"/>
      <c r="P4" s="96"/>
      <c r="Q4" s="96"/>
    </row>
    <row r="6" spans="1:17" s="23" customFormat="1" x14ac:dyDescent="0.2">
      <c r="A6" s="21" t="s">
        <v>531</v>
      </c>
      <c r="B6" s="22"/>
      <c r="C6" s="22"/>
      <c r="D6" s="22"/>
      <c r="E6" s="22"/>
      <c r="F6" s="22"/>
      <c r="G6" s="22"/>
      <c r="H6" s="22"/>
      <c r="I6" s="22"/>
      <c r="J6" s="22"/>
      <c r="K6" s="22"/>
      <c r="L6" s="22"/>
      <c r="M6" s="22"/>
      <c r="N6" s="22"/>
      <c r="O6" s="22"/>
      <c r="P6" s="22"/>
      <c r="Q6" s="22"/>
    </row>
    <row r="7" spans="1:17" x14ac:dyDescent="0.2">
      <c r="A7" s="58" t="s">
        <v>532</v>
      </c>
      <c r="B7" s="76">
        <v>1</v>
      </c>
      <c r="C7" s="76">
        <v>2</v>
      </c>
      <c r="D7" s="76">
        <v>3</v>
      </c>
      <c r="E7" s="76">
        <v>4</v>
      </c>
      <c r="F7" s="76">
        <v>5</v>
      </c>
      <c r="G7" s="76">
        <v>6</v>
      </c>
      <c r="H7" s="76">
        <v>7</v>
      </c>
      <c r="I7" s="76">
        <v>8</v>
      </c>
      <c r="J7" s="76">
        <v>9</v>
      </c>
      <c r="K7" s="76">
        <v>10</v>
      </c>
      <c r="L7" s="76">
        <v>11</v>
      </c>
      <c r="M7" s="76">
        <v>12</v>
      </c>
      <c r="N7" s="76">
        <v>13</v>
      </c>
      <c r="O7" s="76">
        <v>14</v>
      </c>
      <c r="P7" s="76">
        <v>15</v>
      </c>
      <c r="Q7" s="77" t="s">
        <v>533</v>
      </c>
    </row>
    <row r="8" spans="1:17" ht="17" x14ac:dyDescent="0.2">
      <c r="A8" s="26" t="s">
        <v>534</v>
      </c>
      <c r="B8" s="50">
        <f>'GG Greenfield'!$C$29</f>
        <v>41338.965600000003</v>
      </c>
      <c r="C8" s="50">
        <f>'GG Greenfield'!$C$29</f>
        <v>41338.965600000003</v>
      </c>
      <c r="D8" s="50">
        <f>'GG Greenfield'!$C$29</f>
        <v>41338.965600000003</v>
      </c>
      <c r="E8" s="50">
        <f>'GG Greenfield'!$C$29</f>
        <v>41338.965600000003</v>
      </c>
      <c r="F8" s="50">
        <f>'GG Greenfield'!$C$29</f>
        <v>41338.965600000003</v>
      </c>
      <c r="G8" s="50">
        <f>'GG Greenfield'!$C$29</f>
        <v>41338.965600000003</v>
      </c>
      <c r="H8" s="50">
        <f>'GG Greenfield'!$C$29</f>
        <v>41338.965600000003</v>
      </c>
      <c r="I8" s="50">
        <f>'GG Greenfield'!$C$29</f>
        <v>41338.965600000003</v>
      </c>
      <c r="J8" s="50">
        <f>'GG Greenfield'!$C$29</f>
        <v>41338.965600000003</v>
      </c>
      <c r="K8" s="50">
        <f>'GG Greenfield'!$C$29</f>
        <v>41338.965600000003</v>
      </c>
      <c r="L8" s="50">
        <f>'GG Greenfield'!$C$29</f>
        <v>41338.965600000003</v>
      </c>
      <c r="M8" s="50">
        <f>'GG Greenfield'!$C$29</f>
        <v>41338.965600000003</v>
      </c>
      <c r="N8" s="50">
        <f>'GG Greenfield'!$C$29</f>
        <v>41338.965600000003</v>
      </c>
      <c r="O8" s="50">
        <f>'GG Greenfield'!$C$29</f>
        <v>41338.965600000003</v>
      </c>
      <c r="P8" s="50">
        <f>'GG Greenfield'!$C$29</f>
        <v>41338.965600000003</v>
      </c>
      <c r="Q8" s="72">
        <f>SUM(B8:P8)</f>
        <v>620084.48400000005</v>
      </c>
    </row>
    <row r="9" spans="1:17" ht="17" x14ac:dyDescent="0.2">
      <c r="A9" s="26" t="s">
        <v>535</v>
      </c>
      <c r="B9" s="50">
        <f>'GG Greenfield'!$C$37</f>
        <v>4166.666666666667</v>
      </c>
      <c r="C9" s="50">
        <f>'GG Greenfield'!$C$37</f>
        <v>4166.666666666667</v>
      </c>
      <c r="D9" s="50">
        <f>'GG Greenfield'!$C$37</f>
        <v>4166.666666666667</v>
      </c>
      <c r="E9" s="50">
        <f>'GG Greenfield'!$C$37</f>
        <v>4166.666666666667</v>
      </c>
      <c r="F9" s="50">
        <f>'GG Greenfield'!$C$37</f>
        <v>4166.666666666667</v>
      </c>
      <c r="G9" s="50">
        <f>'GG Greenfield'!$C$37</f>
        <v>4166.666666666667</v>
      </c>
      <c r="H9" s="50">
        <f>'GG Greenfield'!$C$37</f>
        <v>4166.666666666667</v>
      </c>
      <c r="I9" s="50">
        <f>'GG Greenfield'!$C$37</f>
        <v>4166.666666666667</v>
      </c>
      <c r="J9" s="50">
        <f>'GG Greenfield'!$C$37</f>
        <v>4166.666666666667</v>
      </c>
      <c r="K9" s="50">
        <f>'GG Greenfield'!$C$37</f>
        <v>4166.666666666667</v>
      </c>
      <c r="L9" s="50">
        <f>'GG Greenfield'!$C$37</f>
        <v>4166.666666666667</v>
      </c>
      <c r="M9" s="50">
        <f>'GG Greenfield'!$C$37</f>
        <v>4166.666666666667</v>
      </c>
      <c r="N9" s="50">
        <f>'GG Greenfield'!$C$37</f>
        <v>4166.666666666667</v>
      </c>
      <c r="O9" s="50">
        <f>'GG Greenfield'!$C$37</f>
        <v>4166.666666666667</v>
      </c>
      <c r="P9" s="50">
        <f>'GG Greenfield'!$C$37</f>
        <v>4166.666666666667</v>
      </c>
      <c r="Q9" s="72">
        <f>SUM(B9:P9)</f>
        <v>62499.999999999985</v>
      </c>
    </row>
    <row r="10" spans="1:17" ht="17" x14ac:dyDescent="0.2">
      <c r="A10" s="26" t="s">
        <v>536</v>
      </c>
      <c r="B10" s="50">
        <f t="shared" ref="B10:P10" si="0">B8-B9</f>
        <v>37172.298933333339</v>
      </c>
      <c r="C10" s="50">
        <f t="shared" si="0"/>
        <v>37172.298933333339</v>
      </c>
      <c r="D10" s="50">
        <f t="shared" si="0"/>
        <v>37172.298933333339</v>
      </c>
      <c r="E10" s="50">
        <f t="shared" si="0"/>
        <v>37172.298933333339</v>
      </c>
      <c r="F10" s="50">
        <f t="shared" si="0"/>
        <v>37172.298933333339</v>
      </c>
      <c r="G10" s="50">
        <f t="shared" si="0"/>
        <v>37172.298933333339</v>
      </c>
      <c r="H10" s="50">
        <f t="shared" si="0"/>
        <v>37172.298933333339</v>
      </c>
      <c r="I10" s="50">
        <f t="shared" si="0"/>
        <v>37172.298933333339</v>
      </c>
      <c r="J10" s="50">
        <f t="shared" si="0"/>
        <v>37172.298933333339</v>
      </c>
      <c r="K10" s="50">
        <f t="shared" si="0"/>
        <v>37172.298933333339</v>
      </c>
      <c r="L10" s="50">
        <f t="shared" si="0"/>
        <v>37172.298933333339</v>
      </c>
      <c r="M10" s="50">
        <f t="shared" si="0"/>
        <v>37172.298933333339</v>
      </c>
      <c r="N10" s="50">
        <f t="shared" si="0"/>
        <v>37172.298933333339</v>
      </c>
      <c r="O10" s="50">
        <f t="shared" si="0"/>
        <v>37172.298933333339</v>
      </c>
      <c r="P10" s="50">
        <f t="shared" si="0"/>
        <v>37172.298933333339</v>
      </c>
      <c r="Q10" s="72">
        <f>SUM(B10:P10)</f>
        <v>557584.48400000029</v>
      </c>
    </row>
    <row r="11" spans="1:17" x14ac:dyDescent="0.2">
      <c r="A11" s="47" t="s">
        <v>537</v>
      </c>
      <c r="B11" s="50">
        <f>0</f>
        <v>0</v>
      </c>
      <c r="C11" s="50">
        <f t="shared" ref="C11:P11" si="1">B13</f>
        <v>0</v>
      </c>
      <c r="D11" s="50">
        <f t="shared" si="1"/>
        <v>0</v>
      </c>
      <c r="E11" s="50">
        <f t="shared" si="1"/>
        <v>0</v>
      </c>
      <c r="F11" s="50">
        <f t="shared" si="1"/>
        <v>0</v>
      </c>
      <c r="G11" s="50">
        <f t="shared" si="1"/>
        <v>0</v>
      </c>
      <c r="H11" s="50">
        <f t="shared" si="1"/>
        <v>0</v>
      </c>
      <c r="I11" s="50">
        <f t="shared" si="1"/>
        <v>0</v>
      </c>
      <c r="J11" s="50">
        <f t="shared" si="1"/>
        <v>0</v>
      </c>
      <c r="K11" s="50">
        <f t="shared" si="1"/>
        <v>0</v>
      </c>
      <c r="L11" s="50">
        <f t="shared" si="1"/>
        <v>0</v>
      </c>
      <c r="M11" s="50">
        <f t="shared" si="1"/>
        <v>0</v>
      </c>
      <c r="N11" s="50">
        <f t="shared" si="1"/>
        <v>0</v>
      </c>
      <c r="O11" s="50">
        <f t="shared" si="1"/>
        <v>0</v>
      </c>
      <c r="P11" s="50">
        <f t="shared" si="1"/>
        <v>0</v>
      </c>
    </row>
    <row r="12" spans="1:17" x14ac:dyDescent="0.2">
      <c r="A12" s="58" t="s">
        <v>538</v>
      </c>
      <c r="B12" s="78">
        <f t="shared" ref="B12:P12" si="2">MAX(0,B10-B11)</f>
        <v>37172.298933333339</v>
      </c>
      <c r="C12" s="78">
        <f t="shared" si="2"/>
        <v>37172.298933333339</v>
      </c>
      <c r="D12" s="78">
        <f t="shared" si="2"/>
        <v>37172.298933333339</v>
      </c>
      <c r="E12" s="78">
        <f t="shared" si="2"/>
        <v>37172.298933333339</v>
      </c>
      <c r="F12" s="78">
        <f t="shared" si="2"/>
        <v>37172.298933333339</v>
      </c>
      <c r="G12" s="78">
        <f t="shared" si="2"/>
        <v>37172.298933333339</v>
      </c>
      <c r="H12" s="78">
        <f t="shared" si="2"/>
        <v>37172.298933333339</v>
      </c>
      <c r="I12" s="78">
        <f t="shared" si="2"/>
        <v>37172.298933333339</v>
      </c>
      <c r="J12" s="78">
        <f t="shared" si="2"/>
        <v>37172.298933333339</v>
      </c>
      <c r="K12" s="78">
        <f t="shared" si="2"/>
        <v>37172.298933333339</v>
      </c>
      <c r="L12" s="78">
        <f t="shared" si="2"/>
        <v>37172.298933333339</v>
      </c>
      <c r="M12" s="78">
        <f t="shared" si="2"/>
        <v>37172.298933333339</v>
      </c>
      <c r="N12" s="78">
        <f t="shared" si="2"/>
        <v>37172.298933333339</v>
      </c>
      <c r="O12" s="78">
        <f t="shared" si="2"/>
        <v>37172.298933333339</v>
      </c>
      <c r="P12" s="78">
        <f t="shared" si="2"/>
        <v>37172.298933333339</v>
      </c>
      <c r="Q12" s="78">
        <f>SUM(B12:P12)</f>
        <v>557584.48400000029</v>
      </c>
    </row>
    <row r="13" spans="1:17" x14ac:dyDescent="0.2">
      <c r="A13" s="47" t="s">
        <v>539</v>
      </c>
      <c r="B13" s="50">
        <f t="shared" ref="B13:P13" si="3">MAX(0,B11-B10)</f>
        <v>0</v>
      </c>
      <c r="C13" s="50">
        <f t="shared" si="3"/>
        <v>0</v>
      </c>
      <c r="D13" s="50">
        <f t="shared" si="3"/>
        <v>0</v>
      </c>
      <c r="E13" s="50">
        <f t="shared" si="3"/>
        <v>0</v>
      </c>
      <c r="F13" s="50">
        <f t="shared" si="3"/>
        <v>0</v>
      </c>
      <c r="G13" s="50">
        <f t="shared" si="3"/>
        <v>0</v>
      </c>
      <c r="H13" s="50">
        <f t="shared" si="3"/>
        <v>0</v>
      </c>
      <c r="I13" s="50">
        <f t="shared" si="3"/>
        <v>0</v>
      </c>
      <c r="J13" s="50">
        <f t="shared" si="3"/>
        <v>0</v>
      </c>
      <c r="K13" s="50">
        <f t="shared" si="3"/>
        <v>0</v>
      </c>
      <c r="L13" s="50">
        <f t="shared" si="3"/>
        <v>0</v>
      </c>
      <c r="M13" s="50">
        <f t="shared" si="3"/>
        <v>0</v>
      </c>
      <c r="N13" s="50">
        <f t="shared" si="3"/>
        <v>0</v>
      </c>
      <c r="O13" s="50">
        <f t="shared" si="3"/>
        <v>0</v>
      </c>
      <c r="P13" s="50">
        <f t="shared" si="3"/>
        <v>0</v>
      </c>
    </row>
    <row r="15" spans="1:17" s="23" customFormat="1" x14ac:dyDescent="0.2">
      <c r="A15" s="21" t="s">
        <v>540</v>
      </c>
      <c r="B15" s="22"/>
      <c r="C15" s="22"/>
      <c r="D15" s="22"/>
      <c r="E15" s="22"/>
      <c r="F15" s="22"/>
      <c r="G15" s="22"/>
      <c r="H15" s="22"/>
      <c r="I15" s="22"/>
      <c r="J15" s="22"/>
      <c r="K15" s="22"/>
      <c r="L15" s="22"/>
      <c r="M15" s="22"/>
      <c r="N15" s="22"/>
      <c r="O15" s="22"/>
      <c r="P15" s="22"/>
      <c r="Q15" s="22"/>
    </row>
    <row r="16" spans="1:17" x14ac:dyDescent="0.2">
      <c r="A16" s="58" t="s">
        <v>532</v>
      </c>
      <c r="B16" s="76">
        <v>1</v>
      </c>
      <c r="C16" s="76">
        <v>2</v>
      </c>
      <c r="D16" s="76">
        <v>3</v>
      </c>
      <c r="E16" s="76">
        <v>4</v>
      </c>
      <c r="F16" s="76">
        <v>5</v>
      </c>
      <c r="G16" s="76">
        <v>6</v>
      </c>
      <c r="H16" s="76">
        <v>7</v>
      </c>
      <c r="I16" s="76">
        <v>8</v>
      </c>
      <c r="J16" s="76">
        <v>9</v>
      </c>
      <c r="K16" s="76">
        <v>10</v>
      </c>
      <c r="L16" s="76">
        <v>11</v>
      </c>
      <c r="M16" s="76">
        <v>12</v>
      </c>
      <c r="N16" s="76">
        <v>13</v>
      </c>
      <c r="O16" s="76">
        <v>14</v>
      </c>
      <c r="P16" s="76">
        <v>15</v>
      </c>
      <c r="Q16" s="77" t="s">
        <v>533</v>
      </c>
    </row>
    <row r="17" spans="1:17" ht="17" x14ac:dyDescent="0.2">
      <c r="A17" s="26" t="s">
        <v>541</v>
      </c>
      <c r="B17" s="50">
        <f t="shared" ref="B17:P17" si="4">B$16-1</f>
        <v>0</v>
      </c>
      <c r="C17" s="50">
        <f t="shared" si="4"/>
        <v>1</v>
      </c>
      <c r="D17" s="50">
        <f t="shared" si="4"/>
        <v>2</v>
      </c>
      <c r="E17" s="50">
        <f t="shared" si="4"/>
        <v>3</v>
      </c>
      <c r="F17" s="50">
        <f t="shared" si="4"/>
        <v>4</v>
      </c>
      <c r="G17" s="50">
        <f t="shared" si="4"/>
        <v>5</v>
      </c>
      <c r="H17" s="50">
        <f t="shared" si="4"/>
        <v>6</v>
      </c>
      <c r="I17" s="50">
        <f t="shared" si="4"/>
        <v>7</v>
      </c>
      <c r="J17" s="50">
        <f t="shared" si="4"/>
        <v>8</v>
      </c>
      <c r="K17" s="50">
        <f t="shared" si="4"/>
        <v>9</v>
      </c>
      <c r="L17" s="50">
        <f t="shared" si="4"/>
        <v>10</v>
      </c>
      <c r="M17" s="50">
        <f t="shared" si="4"/>
        <v>11</v>
      </c>
      <c r="N17" s="50">
        <f t="shared" si="4"/>
        <v>12</v>
      </c>
      <c r="O17" s="50">
        <f t="shared" si="4"/>
        <v>13</v>
      </c>
      <c r="P17" s="50">
        <f t="shared" si="4"/>
        <v>14</v>
      </c>
    </row>
    <row r="18" spans="1:17" ht="34" x14ac:dyDescent="0.2">
      <c r="A18" s="26" t="s">
        <v>542</v>
      </c>
      <c r="B18" s="50">
        <f>IF(B17&lt;'BO Brownfield'!$C$18,'BO Brownfield'!$C$15*(1+'BO Brownfield'!$C$26)*(1-'BO Brownfield'!$C$27)^B17,0)</f>
        <v>74200</v>
      </c>
      <c r="C18" s="50">
        <f>IF(C17&lt;'BO Brownfield'!$C$18,'BO Brownfield'!$C$15*(1+'BO Brownfield'!$C$26)*(1-'BO Brownfield'!$C$27)^C17,0)</f>
        <v>73829</v>
      </c>
      <c r="D18" s="50">
        <f>IF(D17&lt;'BO Brownfield'!$C$18,'BO Brownfield'!$C$15*(1+'BO Brownfield'!$C$26)*(1-'BO Brownfield'!$C$27)^D17,0)</f>
        <v>73459.85500000001</v>
      </c>
      <c r="E18" s="50">
        <f>IF(E17&lt;'BO Brownfield'!$C$18,'BO Brownfield'!$C$15*(1+'BO Brownfield'!$C$26)*(1-'BO Brownfield'!$C$27)^E17,0)</f>
        <v>73092.555724999998</v>
      </c>
      <c r="F18" s="50">
        <f>IF(F17&lt;'BO Brownfield'!$C$18,'BO Brownfield'!$C$15*(1+'BO Brownfield'!$C$26)*(1-'BO Brownfield'!$C$27)^F17,0)</f>
        <v>72727.092946375007</v>
      </c>
      <c r="G18" s="50">
        <f>IF(G17&lt;'BO Brownfield'!$C$18,'BO Brownfield'!$C$15*(1+'BO Brownfield'!$C$26)*(1-'BO Brownfield'!$C$27)^G17,0)</f>
        <v>72363.457481643127</v>
      </c>
      <c r="H18" s="50">
        <f>IF(H17&lt;'BO Brownfield'!$C$18,'BO Brownfield'!$C$15*(1+'BO Brownfield'!$C$26)*(1-'BO Brownfield'!$C$27)^H17,0)</f>
        <v>0</v>
      </c>
      <c r="I18" s="50">
        <f>IF(I17&lt;'BO Brownfield'!$C$18,'BO Brownfield'!$C$15*(1+'BO Brownfield'!$C$26)*(1-'BO Brownfield'!$C$27)^I17,0)</f>
        <v>0</v>
      </c>
      <c r="J18" s="50">
        <f>IF(J17&lt;'BO Brownfield'!$C$18,'BO Brownfield'!$C$15*(1+'BO Brownfield'!$C$26)*(1-'BO Brownfield'!$C$27)^J17,0)</f>
        <v>0</v>
      </c>
      <c r="K18" s="50">
        <f>IF(K17&lt;'BO Brownfield'!$C$18,'BO Brownfield'!$C$15*(1+'BO Brownfield'!$C$26)*(1-'BO Brownfield'!$C$27)^K17,0)</f>
        <v>0</v>
      </c>
      <c r="L18" s="50">
        <f>IF(L17&lt;'BO Brownfield'!$C$18,'BO Brownfield'!$C$15*(1+'BO Brownfield'!$C$26)*(1-'BO Brownfield'!$C$27)^L17,0)</f>
        <v>0</v>
      </c>
      <c r="M18" s="50">
        <f>IF(M17&lt;'BO Brownfield'!$C$18,'BO Brownfield'!$C$15*(1+'BO Brownfield'!$C$26)*(1-'BO Brownfield'!$C$27)^M17,0)</f>
        <v>0</v>
      </c>
      <c r="N18" s="50">
        <f>IF(N17&lt;'BO Brownfield'!$C$18,'BO Brownfield'!$C$15*(1+'BO Brownfield'!$C$26)*(1-'BO Brownfield'!$C$27)^N17,0)</f>
        <v>0</v>
      </c>
      <c r="O18" s="50">
        <f>IF(O17&lt;'BO Brownfield'!$C$18,'BO Brownfield'!$C$15*(1+'BO Brownfield'!$C$26)*(1-'BO Brownfield'!$C$27)^O17,0)</f>
        <v>0</v>
      </c>
      <c r="P18" s="50">
        <f>IF(P17&lt;'BO Brownfield'!$C$18,'BO Brownfield'!$C$15*(1+'BO Brownfield'!$C$26)*(1-'BO Brownfield'!$C$27)^P17,0)</f>
        <v>0</v>
      </c>
    </row>
    <row r="19" spans="1:17" ht="17" x14ac:dyDescent="0.2">
      <c r="A19" s="26" t="s">
        <v>543</v>
      </c>
      <c r="B19" s="50">
        <f>MAX(0,'BO Brownfield'!$C$19-B18)</f>
        <v>45800</v>
      </c>
      <c r="C19" s="50">
        <f>MAX(0,'BO Brownfield'!$C$19-C18)</f>
        <v>46171</v>
      </c>
      <c r="D19" s="50">
        <f>MAX(0,'BO Brownfield'!$C$19-D18)</f>
        <v>46540.14499999999</v>
      </c>
      <c r="E19" s="50">
        <f>MAX(0,'BO Brownfield'!$C$19-E18)</f>
        <v>46907.444275000002</v>
      </c>
      <c r="F19" s="50">
        <f>MAX(0,'BO Brownfield'!$C$19-F18)</f>
        <v>47272.907053624993</v>
      </c>
      <c r="G19" s="50">
        <f>MAX(0,'BO Brownfield'!$C$19-G18)</f>
        <v>47636.542518356873</v>
      </c>
      <c r="H19" s="50">
        <f>MAX(0,'BO Brownfield'!$C$19-H18)</f>
        <v>120000</v>
      </c>
      <c r="I19" s="50">
        <f>MAX(0,'BO Brownfield'!$C$19-I18)</f>
        <v>120000</v>
      </c>
      <c r="J19" s="50">
        <f>MAX(0,'BO Brownfield'!$C$19-J18)</f>
        <v>120000</v>
      </c>
      <c r="K19" s="50">
        <f>MAX(0,'BO Brownfield'!$C$19-K18)</f>
        <v>120000</v>
      </c>
      <c r="L19" s="50">
        <f>MAX(0,'BO Brownfield'!$C$19-L18)</f>
        <v>120000</v>
      </c>
      <c r="M19" s="50">
        <f>MAX(0,'BO Brownfield'!$C$19-M18)</f>
        <v>120000</v>
      </c>
      <c r="N19" s="50">
        <f>MAX(0,'BO Brownfield'!$C$19-N18)</f>
        <v>120000</v>
      </c>
      <c r="O19" s="50">
        <f>MAX(0,'BO Brownfield'!$C$19-O18)</f>
        <v>120000</v>
      </c>
      <c r="P19" s="50">
        <f>MAX(0,'BO Brownfield'!$C$19-P18)</f>
        <v>120000</v>
      </c>
      <c r="Q19" s="72">
        <f>SUM(B19:P19)</f>
        <v>1360328.0388469817</v>
      </c>
    </row>
    <row r="20" spans="1:17" ht="17" x14ac:dyDescent="0.2">
      <c r="A20" s="26" t="s">
        <v>534</v>
      </c>
      <c r="B20" s="50">
        <f>MIN(B19*'BO Brownfield'!$C$23*(1-'BO Brownfield'!$C$24),B19*'BO Brownfield'!$C$23)*'BO Brownfield'!$C$25</f>
        <v>24014.772000000001</v>
      </c>
      <c r="C20" s="50">
        <f>MIN(C19*'BO Brownfield'!$C$23*(1-'BO Brownfield'!$C$24),C19*'BO Brownfield'!$C$23)*'BO Brownfield'!$C$25</f>
        <v>24209.30214</v>
      </c>
      <c r="D20" s="50">
        <f>MIN(D19*'BO Brownfield'!$C$23*(1-'BO Brownfield'!$C$24),D19*'BO Brownfield'!$C$23)*'BO Brownfield'!$C$25</f>
        <v>24402.859629299994</v>
      </c>
      <c r="E20" s="50">
        <f>MIN(E19*'BO Brownfield'!$C$23*(1-'BO Brownfield'!$C$24),E19*'BO Brownfield'!$C$23)*'BO Brownfield'!$C$25</f>
        <v>24595.449331153501</v>
      </c>
      <c r="F20" s="50">
        <f>MIN(F19*'BO Brownfield'!$C$23*(1-'BO Brownfield'!$C$24),F19*'BO Brownfield'!$C$23)*'BO Brownfield'!$C$25</f>
        <v>24787.07608449773</v>
      </c>
      <c r="G20" s="50">
        <f>MIN(G19*'BO Brownfield'!$C$23*(1-'BO Brownfield'!$C$24),G19*'BO Brownfield'!$C$23)*'BO Brownfield'!$C$25</f>
        <v>24977.744704075241</v>
      </c>
      <c r="H20" s="50">
        <f>MIN(H19*'BO Brownfield'!$C$23*(1-'BO Brownfield'!$C$24),H19*'BO Brownfield'!$C$23)*'BO Brownfield'!$C$25</f>
        <v>62920.800000000003</v>
      </c>
      <c r="I20" s="50">
        <f>MIN(I19*'BO Brownfield'!$C$23*(1-'BO Brownfield'!$C$24),I19*'BO Brownfield'!$C$23)*'BO Brownfield'!$C$25</f>
        <v>62920.800000000003</v>
      </c>
      <c r="J20" s="50">
        <f>MIN(J19*'BO Brownfield'!$C$23*(1-'BO Brownfield'!$C$24),J19*'BO Brownfield'!$C$23)*'BO Brownfield'!$C$25</f>
        <v>62920.800000000003</v>
      </c>
      <c r="K20" s="50">
        <f>MIN(K19*'BO Brownfield'!$C$23*(1-'BO Brownfield'!$C$24),K19*'BO Brownfield'!$C$23)*'BO Brownfield'!$C$25</f>
        <v>62920.800000000003</v>
      </c>
      <c r="L20" s="50">
        <f>MIN(L19*'BO Brownfield'!$C$23*(1-'BO Brownfield'!$C$24),L19*'BO Brownfield'!$C$23)*'BO Brownfield'!$C$25</f>
        <v>62920.800000000003</v>
      </c>
      <c r="M20" s="50">
        <f>MIN(M19*'BO Brownfield'!$C$23*(1-'BO Brownfield'!$C$24),M19*'BO Brownfield'!$C$23)*'BO Brownfield'!$C$25</f>
        <v>62920.800000000003</v>
      </c>
      <c r="N20" s="50">
        <f>MIN(N19*'BO Brownfield'!$C$23*(1-'BO Brownfield'!$C$24),N19*'BO Brownfield'!$C$23)*'BO Brownfield'!$C$25</f>
        <v>62920.800000000003</v>
      </c>
      <c r="O20" s="50">
        <f>MIN(O19*'BO Brownfield'!$C$23*(1-'BO Brownfield'!$C$24),O19*'BO Brownfield'!$C$23)*'BO Brownfield'!$C$25</f>
        <v>62920.800000000003</v>
      </c>
      <c r="P20" s="50">
        <f>MIN(P19*'BO Brownfield'!$C$23*(1-'BO Brownfield'!$C$24),P19*'BO Brownfield'!$C$23)*'BO Brownfield'!$C$25</f>
        <v>62920.800000000003</v>
      </c>
      <c r="Q20" s="72">
        <f>SUM(B20:P20)</f>
        <v>713274.40388902661</v>
      </c>
    </row>
    <row r="21" spans="1:17" ht="17" x14ac:dyDescent="0.2">
      <c r="A21" s="26" t="s">
        <v>535</v>
      </c>
      <c r="B21" s="50">
        <f>'BO Brownfield'!$C$48</f>
        <v>3570</v>
      </c>
      <c r="C21" s="50">
        <f>'BO Brownfield'!$C$48</f>
        <v>3570</v>
      </c>
      <c r="D21" s="50">
        <f>'BO Brownfield'!$C$48</f>
        <v>3570</v>
      </c>
      <c r="E21" s="50">
        <f>'BO Brownfield'!$C$48</f>
        <v>3570</v>
      </c>
      <c r="F21" s="50">
        <f>'BO Brownfield'!$C$48</f>
        <v>3570</v>
      </c>
      <c r="G21" s="50">
        <f>'BO Brownfield'!$C$48</f>
        <v>3570</v>
      </c>
      <c r="H21" s="50">
        <f>'BO Brownfield'!$C$48</f>
        <v>3570</v>
      </c>
      <c r="I21" s="50">
        <f>'BO Brownfield'!$C$48</f>
        <v>3570</v>
      </c>
      <c r="J21" s="50">
        <f>'BO Brownfield'!$C$48</f>
        <v>3570</v>
      </c>
      <c r="K21" s="50">
        <f>'BO Brownfield'!$C$48</f>
        <v>3570</v>
      </c>
      <c r="L21" s="50">
        <f>'BO Brownfield'!$C$48</f>
        <v>3570</v>
      </c>
      <c r="M21" s="50">
        <f>'BO Brownfield'!$C$48</f>
        <v>3570</v>
      </c>
      <c r="N21" s="50">
        <f>'BO Brownfield'!$C$48</f>
        <v>3570</v>
      </c>
      <c r="O21" s="50">
        <f>'BO Brownfield'!$C$48</f>
        <v>3570</v>
      </c>
      <c r="P21" s="50">
        <f>'BO Brownfield'!$C$48</f>
        <v>3570</v>
      </c>
      <c r="Q21" s="72">
        <f>SUM(B21:P21)</f>
        <v>53550</v>
      </c>
    </row>
    <row r="22" spans="1:17" ht="17" x14ac:dyDescent="0.2">
      <c r="A22" s="26" t="s">
        <v>536</v>
      </c>
      <c r="B22" s="50">
        <f t="shared" ref="B22:P22" si="5">B20-B21</f>
        <v>20444.772000000001</v>
      </c>
      <c r="C22" s="50">
        <f t="shared" si="5"/>
        <v>20639.30214</v>
      </c>
      <c r="D22" s="50">
        <f t="shared" si="5"/>
        <v>20832.859629299994</v>
      </c>
      <c r="E22" s="50">
        <f t="shared" si="5"/>
        <v>21025.449331153501</v>
      </c>
      <c r="F22" s="50">
        <f t="shared" si="5"/>
        <v>21217.07608449773</v>
      </c>
      <c r="G22" s="50">
        <f t="shared" si="5"/>
        <v>21407.744704075241</v>
      </c>
      <c r="H22" s="50">
        <f t="shared" si="5"/>
        <v>59350.8</v>
      </c>
      <c r="I22" s="50">
        <f t="shared" si="5"/>
        <v>59350.8</v>
      </c>
      <c r="J22" s="50">
        <f t="shared" si="5"/>
        <v>59350.8</v>
      </c>
      <c r="K22" s="50">
        <f t="shared" si="5"/>
        <v>59350.8</v>
      </c>
      <c r="L22" s="50">
        <f t="shared" si="5"/>
        <v>59350.8</v>
      </c>
      <c r="M22" s="50">
        <f t="shared" si="5"/>
        <v>59350.8</v>
      </c>
      <c r="N22" s="50">
        <f t="shared" si="5"/>
        <v>59350.8</v>
      </c>
      <c r="O22" s="50">
        <f t="shared" si="5"/>
        <v>59350.8</v>
      </c>
      <c r="P22" s="50">
        <f t="shared" si="5"/>
        <v>59350.8</v>
      </c>
      <c r="Q22" s="72">
        <f>SUM(B22:P22)</f>
        <v>659724.40388902649</v>
      </c>
    </row>
    <row r="23" spans="1:17" x14ac:dyDescent="0.2">
      <c r="A23" s="47" t="s">
        <v>537</v>
      </c>
      <c r="B23" s="50">
        <f>0</f>
        <v>0</v>
      </c>
      <c r="C23" s="50">
        <f t="shared" ref="C23:P23" si="6">B25</f>
        <v>0</v>
      </c>
      <c r="D23" s="50">
        <f t="shared" si="6"/>
        <v>0</v>
      </c>
      <c r="E23" s="50">
        <f t="shared" si="6"/>
        <v>0</v>
      </c>
      <c r="F23" s="50">
        <f t="shared" si="6"/>
        <v>0</v>
      </c>
      <c r="G23" s="50">
        <f t="shared" si="6"/>
        <v>0</v>
      </c>
      <c r="H23" s="50">
        <f t="shared" si="6"/>
        <v>0</v>
      </c>
      <c r="I23" s="50">
        <f t="shared" si="6"/>
        <v>0</v>
      </c>
      <c r="J23" s="50">
        <f t="shared" si="6"/>
        <v>0</v>
      </c>
      <c r="K23" s="50">
        <f t="shared" si="6"/>
        <v>0</v>
      </c>
      <c r="L23" s="50">
        <f t="shared" si="6"/>
        <v>0</v>
      </c>
      <c r="M23" s="50">
        <f t="shared" si="6"/>
        <v>0</v>
      </c>
      <c r="N23" s="50">
        <f t="shared" si="6"/>
        <v>0</v>
      </c>
      <c r="O23" s="50">
        <f t="shared" si="6"/>
        <v>0</v>
      </c>
      <c r="P23" s="50">
        <f t="shared" si="6"/>
        <v>0</v>
      </c>
    </row>
    <row r="24" spans="1:17" x14ac:dyDescent="0.2">
      <c r="A24" s="58" t="s">
        <v>538</v>
      </c>
      <c r="B24" s="78">
        <f t="shared" ref="B24:P24" si="7">MAX(0,B22-B23)</f>
        <v>20444.772000000001</v>
      </c>
      <c r="C24" s="78">
        <f t="shared" si="7"/>
        <v>20639.30214</v>
      </c>
      <c r="D24" s="78">
        <f t="shared" si="7"/>
        <v>20832.859629299994</v>
      </c>
      <c r="E24" s="78">
        <f t="shared" si="7"/>
        <v>21025.449331153501</v>
      </c>
      <c r="F24" s="78">
        <f t="shared" si="7"/>
        <v>21217.07608449773</v>
      </c>
      <c r="G24" s="78">
        <f t="shared" si="7"/>
        <v>21407.744704075241</v>
      </c>
      <c r="H24" s="78">
        <f t="shared" si="7"/>
        <v>59350.8</v>
      </c>
      <c r="I24" s="78">
        <f t="shared" si="7"/>
        <v>59350.8</v>
      </c>
      <c r="J24" s="78">
        <f t="shared" si="7"/>
        <v>59350.8</v>
      </c>
      <c r="K24" s="78">
        <f t="shared" si="7"/>
        <v>59350.8</v>
      </c>
      <c r="L24" s="78">
        <f t="shared" si="7"/>
        <v>59350.8</v>
      </c>
      <c r="M24" s="78">
        <f t="shared" si="7"/>
        <v>59350.8</v>
      </c>
      <c r="N24" s="78">
        <f t="shared" si="7"/>
        <v>59350.8</v>
      </c>
      <c r="O24" s="78">
        <f t="shared" si="7"/>
        <v>59350.8</v>
      </c>
      <c r="P24" s="78">
        <f t="shared" si="7"/>
        <v>59350.8</v>
      </c>
      <c r="Q24" s="78">
        <f>SUM(B24:P24)</f>
        <v>659724.40388902649</v>
      </c>
    </row>
    <row r="25" spans="1:17" x14ac:dyDescent="0.2">
      <c r="A25" s="47" t="s">
        <v>539</v>
      </c>
      <c r="B25" s="50">
        <f t="shared" ref="B25:P25" si="8">MAX(0,B23-B22)</f>
        <v>0</v>
      </c>
      <c r="C25" s="50">
        <f t="shared" si="8"/>
        <v>0</v>
      </c>
      <c r="D25" s="50">
        <f t="shared" si="8"/>
        <v>0</v>
      </c>
      <c r="E25" s="50">
        <f t="shared" si="8"/>
        <v>0</v>
      </c>
      <c r="F25" s="50">
        <f t="shared" si="8"/>
        <v>0</v>
      </c>
      <c r="G25" s="50">
        <f t="shared" si="8"/>
        <v>0</v>
      </c>
      <c r="H25" s="50">
        <f t="shared" si="8"/>
        <v>0</v>
      </c>
      <c r="I25" s="50">
        <f t="shared" si="8"/>
        <v>0</v>
      </c>
      <c r="J25" s="50">
        <f t="shared" si="8"/>
        <v>0</v>
      </c>
      <c r="K25" s="50">
        <f t="shared" si="8"/>
        <v>0</v>
      </c>
      <c r="L25" s="50">
        <f t="shared" si="8"/>
        <v>0</v>
      </c>
      <c r="M25" s="50">
        <f t="shared" si="8"/>
        <v>0</v>
      </c>
      <c r="N25" s="50">
        <f t="shared" si="8"/>
        <v>0</v>
      </c>
      <c r="O25" s="50">
        <f t="shared" si="8"/>
        <v>0</v>
      </c>
      <c r="P25" s="50">
        <f t="shared" si="8"/>
        <v>0</v>
      </c>
    </row>
    <row r="27" spans="1:17" s="23" customFormat="1" x14ac:dyDescent="0.2">
      <c r="A27" s="21" t="s">
        <v>544</v>
      </c>
      <c r="B27" s="22"/>
      <c r="C27" s="22"/>
      <c r="D27" s="22"/>
      <c r="E27" s="22"/>
      <c r="F27" s="22"/>
      <c r="G27" s="22"/>
      <c r="H27" s="22"/>
      <c r="I27" s="22"/>
      <c r="J27" s="22"/>
      <c r="K27" s="22"/>
      <c r="L27" s="22"/>
      <c r="M27" s="22"/>
      <c r="N27" s="22"/>
      <c r="O27" s="22"/>
      <c r="P27" s="22"/>
      <c r="Q27" s="22"/>
    </row>
    <row r="28" spans="1:17" x14ac:dyDescent="0.2">
      <c r="A28" s="58" t="s">
        <v>532</v>
      </c>
      <c r="B28" s="76">
        <v>1</v>
      </c>
      <c r="C28" s="76">
        <v>2</v>
      </c>
      <c r="D28" s="76">
        <v>3</v>
      </c>
      <c r="E28" s="76">
        <v>4</v>
      </c>
      <c r="F28" s="76">
        <v>5</v>
      </c>
      <c r="G28" s="76">
        <v>6</v>
      </c>
      <c r="H28" s="76">
        <v>7</v>
      </c>
      <c r="I28" s="76">
        <v>8</v>
      </c>
      <c r="J28" s="76">
        <v>9</v>
      </c>
      <c r="K28" s="76">
        <v>10</v>
      </c>
      <c r="L28" s="76">
        <v>11</v>
      </c>
      <c r="M28" s="76">
        <v>12</v>
      </c>
      <c r="N28" s="76">
        <v>13</v>
      </c>
      <c r="O28" s="76">
        <v>14</v>
      </c>
      <c r="P28" s="76">
        <v>15</v>
      </c>
      <c r="Q28" s="77" t="s">
        <v>533</v>
      </c>
    </row>
    <row r="29" spans="1:17" ht="17" x14ac:dyDescent="0.2">
      <c r="A29" s="26" t="s">
        <v>545</v>
      </c>
      <c r="B29" s="50">
        <f>'ST Storage'!$C$55</f>
        <v>6474.4022058823521</v>
      </c>
      <c r="C29" s="50">
        <f>'ST Storage'!$C$55</f>
        <v>6474.4022058823521</v>
      </c>
      <c r="D29" s="50">
        <f>'ST Storage'!$C$55</f>
        <v>6474.4022058823521</v>
      </c>
      <c r="E29" s="50">
        <f>'ST Storage'!$C$55</f>
        <v>6474.4022058823521</v>
      </c>
      <c r="F29" s="50">
        <f>'ST Storage'!$C$55</f>
        <v>6474.4022058823521</v>
      </c>
      <c r="G29" s="50">
        <f>'ST Storage'!$C$55</f>
        <v>6474.4022058823521</v>
      </c>
      <c r="H29" s="50">
        <f>'ST Storage'!$C$55</f>
        <v>6474.4022058823521</v>
      </c>
      <c r="I29" s="50">
        <f>'ST Storage'!$C$55</f>
        <v>6474.4022058823521</v>
      </c>
      <c r="J29" s="50">
        <f>'ST Storage'!$C$55</f>
        <v>6474.4022058823521</v>
      </c>
      <c r="K29" s="50">
        <f>'ST Storage'!$C$55</f>
        <v>6474.4022058823521</v>
      </c>
      <c r="L29" s="50">
        <f>'ST Storage'!$C$55</f>
        <v>6474.4022058823521</v>
      </c>
      <c r="M29" s="50">
        <f>'ST Storage'!$C$55</f>
        <v>6474.4022058823521</v>
      </c>
      <c r="N29" s="50">
        <f>'ST Storage'!$C$55</f>
        <v>6474.4022058823521</v>
      </c>
      <c r="O29" s="50">
        <f>'ST Storage'!$C$55</f>
        <v>6474.4022058823521</v>
      </c>
      <c r="P29" s="50">
        <f>'ST Storage'!$C$55</f>
        <v>6474.4022058823521</v>
      </c>
      <c r="Q29" s="72">
        <f>SUM(B29:P29)</f>
        <v>97116.033088235272</v>
      </c>
    </row>
    <row r="30" spans="1:17" ht="17" x14ac:dyDescent="0.2">
      <c r="A30" s="26" t="s">
        <v>546</v>
      </c>
      <c r="B30" s="50">
        <f>'ST Storage'!$C$57+IF(B$28&gt;='ST Storage'!$C$11,'ST Storage'!$C$58,0)</f>
        <v>330</v>
      </c>
      <c r="C30" s="50">
        <f>'ST Storage'!$C$57+IF(C$28&gt;='ST Storage'!$C$11,'ST Storage'!$C$58,0)</f>
        <v>330</v>
      </c>
      <c r="D30" s="50">
        <f>'ST Storage'!$C$57+IF(D$28&gt;='ST Storage'!$C$11,'ST Storage'!$C$58,0)</f>
        <v>330</v>
      </c>
      <c r="E30" s="50">
        <f>'ST Storage'!$C$57+IF(E$28&gt;='ST Storage'!$C$11,'ST Storage'!$C$58,0)</f>
        <v>330</v>
      </c>
      <c r="F30" s="50">
        <f>'ST Storage'!$C$57+IF(F$28&gt;='ST Storage'!$C$11,'ST Storage'!$C$58,0)</f>
        <v>330</v>
      </c>
      <c r="G30" s="50">
        <f>'ST Storage'!$C$57+IF(G$28&gt;='ST Storage'!$C$11,'ST Storage'!$C$58,0)</f>
        <v>330</v>
      </c>
      <c r="H30" s="50">
        <f>'ST Storage'!$C$57+IF(H$28&gt;='ST Storage'!$C$11,'ST Storage'!$C$58,0)</f>
        <v>330</v>
      </c>
      <c r="I30" s="50">
        <f>'ST Storage'!$C$57+IF(I$28&gt;='ST Storage'!$C$11,'ST Storage'!$C$58,0)</f>
        <v>330</v>
      </c>
      <c r="J30" s="50">
        <f>'ST Storage'!$C$57+IF(J$28&gt;='ST Storage'!$C$11,'ST Storage'!$C$58,0)</f>
        <v>330</v>
      </c>
      <c r="K30" s="50">
        <f>'ST Storage'!$C$57+IF(K$28&gt;='ST Storage'!$C$11,'ST Storage'!$C$58,0)</f>
        <v>502.5</v>
      </c>
      <c r="L30" s="50">
        <f>'ST Storage'!$C$57+IF(L$28&gt;='ST Storage'!$C$11,'ST Storage'!$C$58,0)</f>
        <v>502.5</v>
      </c>
      <c r="M30" s="50">
        <f>'ST Storage'!$C$57+IF(M$28&gt;='ST Storage'!$C$11,'ST Storage'!$C$58,0)</f>
        <v>502.5</v>
      </c>
      <c r="N30" s="50">
        <f>'ST Storage'!$C$57+IF(N$28&gt;='ST Storage'!$C$11,'ST Storage'!$C$58,0)</f>
        <v>502.5</v>
      </c>
      <c r="O30" s="50">
        <f>'ST Storage'!$C$57+IF(O$28&gt;='ST Storage'!$C$11,'ST Storage'!$C$58,0)</f>
        <v>502.5</v>
      </c>
      <c r="P30" s="50">
        <f>'ST Storage'!$C$57+IF(P$28&gt;='ST Storage'!$C$11,'ST Storage'!$C$58,0)</f>
        <v>502.5</v>
      </c>
      <c r="Q30" s="72">
        <f>SUM(B30:P30)</f>
        <v>5985</v>
      </c>
    </row>
    <row r="31" spans="1:17" ht="17" x14ac:dyDescent="0.2">
      <c r="A31" s="26" t="s">
        <v>536</v>
      </c>
      <c r="B31" s="50">
        <f>B29-'ST Storage'!$C$13-B30</f>
        <v>6144.4022058823521</v>
      </c>
      <c r="C31" s="50">
        <f>C29-'ST Storage'!$C$13-C30</f>
        <v>6144.4022058823521</v>
      </c>
      <c r="D31" s="50">
        <f>D29-'ST Storage'!$C$13-D30</f>
        <v>6144.4022058823521</v>
      </c>
      <c r="E31" s="50">
        <f>E29-'ST Storage'!$C$13-E30</f>
        <v>6144.4022058823521</v>
      </c>
      <c r="F31" s="50">
        <f>F29-'ST Storage'!$C$13-F30</f>
        <v>6144.4022058823521</v>
      </c>
      <c r="G31" s="50">
        <f>G29-'ST Storage'!$C$13-G30</f>
        <v>6144.4022058823521</v>
      </c>
      <c r="H31" s="50">
        <f>H29-'ST Storage'!$C$13-H30</f>
        <v>6144.4022058823521</v>
      </c>
      <c r="I31" s="50">
        <f>I29-'ST Storage'!$C$13-I30</f>
        <v>6144.4022058823521</v>
      </c>
      <c r="J31" s="50">
        <f>J29-'ST Storage'!$C$13-J30</f>
        <v>6144.4022058823521</v>
      </c>
      <c r="K31" s="50">
        <f>K29-'ST Storage'!$C$13-K30</f>
        <v>5971.9022058823521</v>
      </c>
      <c r="L31" s="50">
        <f>L29-'ST Storage'!$C$13-L30</f>
        <v>5971.9022058823521</v>
      </c>
      <c r="M31" s="50">
        <f>M29-'ST Storage'!$C$13-M30</f>
        <v>5971.9022058823521</v>
      </c>
      <c r="N31" s="50">
        <f>N29-'ST Storage'!$C$13-N30</f>
        <v>5971.9022058823521</v>
      </c>
      <c r="O31" s="50">
        <f>O29-'ST Storage'!$C$13-O30</f>
        <v>5971.9022058823521</v>
      </c>
      <c r="P31" s="50">
        <f>P29-'ST Storage'!$C$13-P30</f>
        <v>5971.9022058823521</v>
      </c>
      <c r="Q31" s="72">
        <f>SUM(B31:P31)</f>
        <v>91131.033088235272</v>
      </c>
    </row>
    <row r="32" spans="1:17" x14ac:dyDescent="0.2">
      <c r="A32" s="47" t="s">
        <v>537</v>
      </c>
      <c r="B32" s="50">
        <f>0</f>
        <v>0</v>
      </c>
      <c r="C32" s="50">
        <f t="shared" ref="C32:P32" si="9">B34</f>
        <v>0</v>
      </c>
      <c r="D32" s="50">
        <f t="shared" si="9"/>
        <v>0</v>
      </c>
      <c r="E32" s="50">
        <f t="shared" si="9"/>
        <v>0</v>
      </c>
      <c r="F32" s="50">
        <f t="shared" si="9"/>
        <v>0</v>
      </c>
      <c r="G32" s="50">
        <f t="shared" si="9"/>
        <v>0</v>
      </c>
      <c r="H32" s="50">
        <f t="shared" si="9"/>
        <v>0</v>
      </c>
      <c r="I32" s="50">
        <f t="shared" si="9"/>
        <v>0</v>
      </c>
      <c r="J32" s="50">
        <f t="shared" si="9"/>
        <v>0</v>
      </c>
      <c r="K32" s="50">
        <f t="shared" si="9"/>
        <v>0</v>
      </c>
      <c r="L32" s="50">
        <f t="shared" si="9"/>
        <v>0</v>
      </c>
      <c r="M32" s="50">
        <f t="shared" si="9"/>
        <v>0</v>
      </c>
      <c r="N32" s="50">
        <f t="shared" si="9"/>
        <v>0</v>
      </c>
      <c r="O32" s="50">
        <f t="shared" si="9"/>
        <v>0</v>
      </c>
      <c r="P32" s="50">
        <f t="shared" si="9"/>
        <v>0</v>
      </c>
    </row>
    <row r="33" spans="1:17" x14ac:dyDescent="0.2">
      <c r="A33" s="58" t="s">
        <v>538</v>
      </c>
      <c r="B33" s="78">
        <f t="shared" ref="B33:P33" si="10">MAX(0,B31-B32)</f>
        <v>6144.4022058823521</v>
      </c>
      <c r="C33" s="78">
        <f t="shared" si="10"/>
        <v>6144.4022058823521</v>
      </c>
      <c r="D33" s="78">
        <f t="shared" si="10"/>
        <v>6144.4022058823521</v>
      </c>
      <c r="E33" s="78">
        <f t="shared" si="10"/>
        <v>6144.4022058823521</v>
      </c>
      <c r="F33" s="78">
        <f t="shared" si="10"/>
        <v>6144.4022058823521</v>
      </c>
      <c r="G33" s="78">
        <f t="shared" si="10"/>
        <v>6144.4022058823521</v>
      </c>
      <c r="H33" s="78">
        <f t="shared" si="10"/>
        <v>6144.4022058823521</v>
      </c>
      <c r="I33" s="78">
        <f t="shared" si="10"/>
        <v>6144.4022058823521</v>
      </c>
      <c r="J33" s="78">
        <f t="shared" si="10"/>
        <v>6144.4022058823521</v>
      </c>
      <c r="K33" s="78">
        <f t="shared" si="10"/>
        <v>5971.9022058823521</v>
      </c>
      <c r="L33" s="78">
        <f t="shared" si="10"/>
        <v>5971.9022058823521</v>
      </c>
      <c r="M33" s="78">
        <f t="shared" si="10"/>
        <v>5971.9022058823521</v>
      </c>
      <c r="N33" s="78">
        <f t="shared" si="10"/>
        <v>5971.9022058823521</v>
      </c>
      <c r="O33" s="78">
        <f t="shared" si="10"/>
        <v>5971.9022058823521</v>
      </c>
      <c r="P33" s="78">
        <f t="shared" si="10"/>
        <v>5971.9022058823521</v>
      </c>
      <c r="Q33" s="78">
        <f>SUM(B33:P33)</f>
        <v>91131.033088235272</v>
      </c>
    </row>
    <row r="34" spans="1:17" x14ac:dyDescent="0.2">
      <c r="A34" s="47" t="s">
        <v>539</v>
      </c>
      <c r="B34" s="50">
        <f t="shared" ref="B34:P34" si="11">MAX(0,B32-B31)</f>
        <v>0</v>
      </c>
      <c r="C34" s="50">
        <f t="shared" si="11"/>
        <v>0</v>
      </c>
      <c r="D34" s="50">
        <f t="shared" si="11"/>
        <v>0</v>
      </c>
      <c r="E34" s="50">
        <f t="shared" si="11"/>
        <v>0</v>
      </c>
      <c r="F34" s="50">
        <f t="shared" si="11"/>
        <v>0</v>
      </c>
      <c r="G34" s="50">
        <f t="shared" si="11"/>
        <v>0</v>
      </c>
      <c r="H34" s="50">
        <f t="shared" si="11"/>
        <v>0</v>
      </c>
      <c r="I34" s="50">
        <f t="shared" si="11"/>
        <v>0</v>
      </c>
      <c r="J34" s="50">
        <f t="shared" si="11"/>
        <v>0</v>
      </c>
      <c r="K34" s="50">
        <f t="shared" si="11"/>
        <v>0</v>
      </c>
      <c r="L34" s="50">
        <f t="shared" si="11"/>
        <v>0</v>
      </c>
      <c r="M34" s="50">
        <f t="shared" si="11"/>
        <v>0</v>
      </c>
      <c r="N34" s="50">
        <f t="shared" si="11"/>
        <v>0</v>
      </c>
      <c r="O34" s="50">
        <f t="shared" si="11"/>
        <v>0</v>
      </c>
      <c r="P34" s="50">
        <f t="shared" si="11"/>
        <v>0</v>
      </c>
    </row>
    <row r="36" spans="1:17" s="23" customFormat="1" x14ac:dyDescent="0.2">
      <c r="A36" s="21" t="s">
        <v>547</v>
      </c>
      <c r="B36" s="22"/>
      <c r="C36" s="22"/>
      <c r="D36" s="22"/>
      <c r="E36" s="22"/>
      <c r="F36" s="22"/>
      <c r="G36" s="22"/>
      <c r="H36" s="22"/>
      <c r="I36" s="22"/>
      <c r="J36" s="22"/>
      <c r="K36" s="22"/>
      <c r="L36" s="22"/>
      <c r="M36" s="22"/>
      <c r="N36" s="22"/>
      <c r="O36" s="22"/>
      <c r="P36" s="22"/>
      <c r="Q36" s="22"/>
    </row>
    <row r="37" spans="1:17" x14ac:dyDescent="0.2">
      <c r="A37" s="58" t="s">
        <v>532</v>
      </c>
      <c r="B37" s="76">
        <v>1</v>
      </c>
      <c r="C37" s="76">
        <v>2</v>
      </c>
      <c r="D37" s="76">
        <v>3</v>
      </c>
      <c r="E37" s="76">
        <v>4</v>
      </c>
      <c r="F37" s="76">
        <v>5</v>
      </c>
      <c r="G37" s="76">
        <v>6</v>
      </c>
      <c r="H37" s="76">
        <v>7</v>
      </c>
      <c r="I37" s="76">
        <v>8</v>
      </c>
      <c r="J37" s="76">
        <v>9</v>
      </c>
      <c r="K37" s="76">
        <v>10</v>
      </c>
      <c r="L37" s="76">
        <v>11</v>
      </c>
      <c r="M37" s="76">
        <v>12</v>
      </c>
      <c r="N37" s="76">
        <v>13</v>
      </c>
      <c r="O37" s="76">
        <v>14</v>
      </c>
      <c r="P37" s="76">
        <v>15</v>
      </c>
      <c r="Q37" s="77" t="s">
        <v>533</v>
      </c>
    </row>
    <row r="38" spans="1:17" ht="17" x14ac:dyDescent="0.2">
      <c r="A38" s="26" t="s">
        <v>548</v>
      </c>
      <c r="B38" s="50">
        <f>VPP!$C$36</f>
        <v>7629.1470000000008</v>
      </c>
      <c r="C38" s="50">
        <f>VPP!$C$36</f>
        <v>7629.1470000000008</v>
      </c>
      <c r="D38" s="50">
        <f>VPP!$C$36</f>
        <v>7629.1470000000008</v>
      </c>
      <c r="E38" s="50">
        <f>VPP!$C$36</f>
        <v>7629.1470000000008</v>
      </c>
      <c r="F38" s="50">
        <f>VPP!$C$36</f>
        <v>7629.1470000000008</v>
      </c>
      <c r="G38" s="50">
        <f>VPP!$C$36</f>
        <v>7629.1470000000008</v>
      </c>
      <c r="H38" s="50">
        <f>VPP!$C$36</f>
        <v>7629.1470000000008</v>
      </c>
      <c r="I38" s="50">
        <f>VPP!$C$36</f>
        <v>7629.1470000000008</v>
      </c>
      <c r="J38" s="50">
        <f>VPP!$C$36</f>
        <v>7629.1470000000008</v>
      </c>
      <c r="K38" s="50">
        <f>VPP!$C$36</f>
        <v>7629.1470000000008</v>
      </c>
      <c r="L38" s="50">
        <f>VPP!$C$36</f>
        <v>7629.1470000000008</v>
      </c>
      <c r="M38" s="50">
        <f>VPP!$C$36</f>
        <v>7629.1470000000008</v>
      </c>
      <c r="N38" s="50">
        <f>VPP!$C$36</f>
        <v>7629.1470000000008</v>
      </c>
      <c r="O38" s="50">
        <f>VPP!$C$36</f>
        <v>7629.1470000000008</v>
      </c>
      <c r="P38" s="50">
        <f>VPP!$C$36</f>
        <v>7629.1470000000008</v>
      </c>
      <c r="Q38" s="72">
        <f>SUM(B38:P38)</f>
        <v>114437.20499999997</v>
      </c>
    </row>
    <row r="39" spans="1:17" ht="17" x14ac:dyDescent="0.2">
      <c r="A39" s="26" t="s">
        <v>545</v>
      </c>
      <c r="B39" s="50">
        <f>VPP!$C$45</f>
        <v>430.23265882352962</v>
      </c>
      <c r="C39" s="50">
        <f>VPP!$C$45</f>
        <v>430.23265882352962</v>
      </c>
      <c r="D39" s="50">
        <f>VPP!$C$45</f>
        <v>430.23265882352962</v>
      </c>
      <c r="E39" s="50">
        <f>VPP!$C$45</f>
        <v>430.23265882352962</v>
      </c>
      <c r="F39" s="50">
        <f>VPP!$C$45</f>
        <v>430.23265882352962</v>
      </c>
      <c r="G39" s="50">
        <f>VPP!$C$45</f>
        <v>430.23265882352962</v>
      </c>
      <c r="H39" s="50">
        <f>VPP!$C$45</f>
        <v>430.23265882352962</v>
      </c>
      <c r="I39" s="50">
        <f>VPP!$C$45</f>
        <v>430.23265882352962</v>
      </c>
      <c r="J39" s="50">
        <f>VPP!$C$45</f>
        <v>430.23265882352962</v>
      </c>
      <c r="K39" s="50">
        <f>VPP!$C$45</f>
        <v>430.23265882352962</v>
      </c>
      <c r="L39" s="50">
        <f>VPP!$C$45</f>
        <v>430.23265882352962</v>
      </c>
      <c r="M39" s="50">
        <f>VPP!$C$45</f>
        <v>430.23265882352962</v>
      </c>
      <c r="N39" s="50">
        <f>VPP!$C$45</f>
        <v>430.23265882352962</v>
      </c>
      <c r="O39" s="50">
        <f>VPP!$C$45</f>
        <v>430.23265882352962</v>
      </c>
      <c r="P39" s="50">
        <f>VPP!$C$45</f>
        <v>430.23265882352962</v>
      </c>
      <c r="Q39" s="72">
        <f>SUM(B39:P39)</f>
        <v>6453.4898823529456</v>
      </c>
    </row>
    <row r="40" spans="1:17" ht="17" x14ac:dyDescent="0.2">
      <c r="A40" s="26" t="s">
        <v>535</v>
      </c>
      <c r="B40" s="50">
        <f>VPP!$C$49</f>
        <v>798.66666666666663</v>
      </c>
      <c r="C40" s="50">
        <f>VPP!$C$49</f>
        <v>798.66666666666663</v>
      </c>
      <c r="D40" s="50">
        <f>VPP!$C$49</f>
        <v>798.66666666666663</v>
      </c>
      <c r="E40" s="50">
        <f>VPP!$C$49</f>
        <v>798.66666666666663</v>
      </c>
      <c r="F40" s="50">
        <f>VPP!$C$49</f>
        <v>798.66666666666663</v>
      </c>
      <c r="G40" s="50">
        <f>VPP!$C$49</f>
        <v>798.66666666666663</v>
      </c>
      <c r="H40" s="50">
        <f>VPP!$C$49</f>
        <v>798.66666666666663</v>
      </c>
      <c r="I40" s="50">
        <f>VPP!$C$49</f>
        <v>798.66666666666663</v>
      </c>
      <c r="J40" s="50">
        <f>VPP!$C$49</f>
        <v>798.66666666666663</v>
      </c>
      <c r="K40" s="50">
        <f>VPP!$C$49</f>
        <v>798.66666666666663</v>
      </c>
      <c r="L40" s="50">
        <f>VPP!$C$49</f>
        <v>798.66666666666663</v>
      </c>
      <c r="M40" s="50">
        <f>VPP!$C$49</f>
        <v>798.66666666666663</v>
      </c>
      <c r="N40" s="50">
        <f>VPP!$C$49</f>
        <v>798.66666666666663</v>
      </c>
      <c r="O40" s="50">
        <f>VPP!$C$49</f>
        <v>798.66666666666663</v>
      </c>
      <c r="P40" s="50">
        <f>VPP!$C$49</f>
        <v>798.66666666666663</v>
      </c>
      <c r="Q40" s="72">
        <f>SUM(B40:P40)</f>
        <v>11979.999999999998</v>
      </c>
    </row>
    <row r="41" spans="1:17" ht="17" x14ac:dyDescent="0.2">
      <c r="A41" s="26" t="s">
        <v>536</v>
      </c>
      <c r="B41" s="50">
        <f t="shared" ref="B41:P41" si="12">B38+B39-B40</f>
        <v>7260.7129921568639</v>
      </c>
      <c r="C41" s="50">
        <f t="shared" si="12"/>
        <v>7260.7129921568639</v>
      </c>
      <c r="D41" s="50">
        <f t="shared" si="12"/>
        <v>7260.7129921568639</v>
      </c>
      <c r="E41" s="50">
        <f t="shared" si="12"/>
        <v>7260.7129921568639</v>
      </c>
      <c r="F41" s="50">
        <f t="shared" si="12"/>
        <v>7260.7129921568639</v>
      </c>
      <c r="G41" s="50">
        <f t="shared" si="12"/>
        <v>7260.7129921568639</v>
      </c>
      <c r="H41" s="50">
        <f t="shared" si="12"/>
        <v>7260.7129921568639</v>
      </c>
      <c r="I41" s="50">
        <f t="shared" si="12"/>
        <v>7260.7129921568639</v>
      </c>
      <c r="J41" s="50">
        <f t="shared" si="12"/>
        <v>7260.7129921568639</v>
      </c>
      <c r="K41" s="50">
        <f t="shared" si="12"/>
        <v>7260.7129921568639</v>
      </c>
      <c r="L41" s="50">
        <f t="shared" si="12"/>
        <v>7260.7129921568639</v>
      </c>
      <c r="M41" s="50">
        <f t="shared" si="12"/>
        <v>7260.7129921568639</v>
      </c>
      <c r="N41" s="50">
        <f t="shared" si="12"/>
        <v>7260.7129921568639</v>
      </c>
      <c r="O41" s="50">
        <f t="shared" si="12"/>
        <v>7260.7129921568639</v>
      </c>
      <c r="P41" s="50">
        <f t="shared" si="12"/>
        <v>7260.7129921568639</v>
      </c>
      <c r="Q41" s="72">
        <f>SUM(B41:P41)</f>
        <v>108910.694882353</v>
      </c>
    </row>
    <row r="42" spans="1:17" x14ac:dyDescent="0.2">
      <c r="A42" s="47" t="s">
        <v>537</v>
      </c>
      <c r="B42" s="50">
        <f>0</f>
        <v>0</v>
      </c>
      <c r="C42" s="50">
        <f t="shared" ref="C42:P42" si="13">B44</f>
        <v>0</v>
      </c>
      <c r="D42" s="50">
        <f t="shared" si="13"/>
        <v>0</v>
      </c>
      <c r="E42" s="50">
        <f t="shared" si="13"/>
        <v>0</v>
      </c>
      <c r="F42" s="50">
        <f t="shared" si="13"/>
        <v>0</v>
      </c>
      <c r="G42" s="50">
        <f t="shared" si="13"/>
        <v>0</v>
      </c>
      <c r="H42" s="50">
        <f t="shared" si="13"/>
        <v>0</v>
      </c>
      <c r="I42" s="50">
        <f t="shared" si="13"/>
        <v>0</v>
      </c>
      <c r="J42" s="50">
        <f t="shared" si="13"/>
        <v>0</v>
      </c>
      <c r="K42" s="50">
        <f t="shared" si="13"/>
        <v>0</v>
      </c>
      <c r="L42" s="50">
        <f t="shared" si="13"/>
        <v>0</v>
      </c>
      <c r="M42" s="50">
        <f t="shared" si="13"/>
        <v>0</v>
      </c>
      <c r="N42" s="50">
        <f t="shared" si="13"/>
        <v>0</v>
      </c>
      <c r="O42" s="50">
        <f t="shared" si="13"/>
        <v>0</v>
      </c>
      <c r="P42" s="50">
        <f t="shared" si="13"/>
        <v>0</v>
      </c>
    </row>
    <row r="43" spans="1:17" x14ac:dyDescent="0.2">
      <c r="A43" s="58" t="s">
        <v>538</v>
      </c>
      <c r="B43" s="78">
        <f t="shared" ref="B43:P43" si="14">MAX(0,B41-B42)</f>
        <v>7260.7129921568639</v>
      </c>
      <c r="C43" s="78">
        <f t="shared" si="14"/>
        <v>7260.7129921568639</v>
      </c>
      <c r="D43" s="78">
        <f t="shared" si="14"/>
        <v>7260.7129921568639</v>
      </c>
      <c r="E43" s="78">
        <f t="shared" si="14"/>
        <v>7260.7129921568639</v>
      </c>
      <c r="F43" s="78">
        <f t="shared" si="14"/>
        <v>7260.7129921568639</v>
      </c>
      <c r="G43" s="78">
        <f t="shared" si="14"/>
        <v>7260.7129921568639</v>
      </c>
      <c r="H43" s="78">
        <f t="shared" si="14"/>
        <v>7260.7129921568639</v>
      </c>
      <c r="I43" s="78">
        <f t="shared" si="14"/>
        <v>7260.7129921568639</v>
      </c>
      <c r="J43" s="78">
        <f t="shared" si="14"/>
        <v>7260.7129921568639</v>
      </c>
      <c r="K43" s="78">
        <f t="shared" si="14"/>
        <v>7260.7129921568639</v>
      </c>
      <c r="L43" s="78">
        <f t="shared" si="14"/>
        <v>7260.7129921568639</v>
      </c>
      <c r="M43" s="78">
        <f t="shared" si="14"/>
        <v>7260.7129921568639</v>
      </c>
      <c r="N43" s="78">
        <f t="shared" si="14"/>
        <v>7260.7129921568639</v>
      </c>
      <c r="O43" s="78">
        <f t="shared" si="14"/>
        <v>7260.7129921568639</v>
      </c>
      <c r="P43" s="78">
        <f t="shared" si="14"/>
        <v>7260.7129921568639</v>
      </c>
      <c r="Q43" s="78">
        <f>SUM(B43:P43)</f>
        <v>108910.694882353</v>
      </c>
    </row>
    <row r="44" spans="1:17" x14ac:dyDescent="0.2">
      <c r="A44" s="47" t="s">
        <v>539</v>
      </c>
      <c r="B44" s="50">
        <f t="shared" ref="B44:P44" si="15">MAX(0,B42-B41)</f>
        <v>0</v>
      </c>
      <c r="C44" s="50">
        <f t="shared" si="15"/>
        <v>0</v>
      </c>
      <c r="D44" s="50">
        <f t="shared" si="15"/>
        <v>0</v>
      </c>
      <c r="E44" s="50">
        <f t="shared" si="15"/>
        <v>0</v>
      </c>
      <c r="F44" s="50">
        <f t="shared" si="15"/>
        <v>0</v>
      </c>
      <c r="G44" s="50">
        <f t="shared" si="15"/>
        <v>0</v>
      </c>
      <c r="H44" s="50">
        <f t="shared" si="15"/>
        <v>0</v>
      </c>
      <c r="I44" s="50">
        <f t="shared" si="15"/>
        <v>0</v>
      </c>
      <c r="J44" s="50">
        <f t="shared" si="15"/>
        <v>0</v>
      </c>
      <c r="K44" s="50">
        <f t="shared" si="15"/>
        <v>0</v>
      </c>
      <c r="L44" s="50">
        <f t="shared" si="15"/>
        <v>0</v>
      </c>
      <c r="M44" s="50">
        <f t="shared" si="15"/>
        <v>0</v>
      </c>
      <c r="N44" s="50">
        <f t="shared" si="15"/>
        <v>0</v>
      </c>
      <c r="O44" s="50">
        <f t="shared" si="15"/>
        <v>0</v>
      </c>
      <c r="P44" s="50">
        <f t="shared" si="15"/>
        <v>0</v>
      </c>
    </row>
    <row r="46" spans="1:17" s="88" customFormat="1" x14ac:dyDescent="0.2">
      <c r="A46" s="86" t="s">
        <v>549</v>
      </c>
      <c r="B46" s="87"/>
      <c r="C46" s="87"/>
      <c r="D46" s="87"/>
      <c r="E46" s="87"/>
      <c r="F46" s="87"/>
      <c r="G46" s="87"/>
      <c r="H46" s="87"/>
      <c r="I46" s="87"/>
      <c r="J46" s="87"/>
      <c r="K46" s="87"/>
      <c r="L46" s="87"/>
      <c r="M46" s="87"/>
      <c r="N46" s="87"/>
      <c r="O46" s="87"/>
      <c r="P46" s="87"/>
      <c r="Q46" s="87"/>
    </row>
    <row r="47" spans="1:17" x14ac:dyDescent="0.2">
      <c r="A47" s="58" t="s">
        <v>532</v>
      </c>
      <c r="B47" s="76">
        <v>1</v>
      </c>
      <c r="C47" s="76">
        <v>2</v>
      </c>
      <c r="D47" s="76">
        <v>3</v>
      </c>
      <c r="E47" s="76">
        <v>4</v>
      </c>
      <c r="F47" s="76">
        <v>5</v>
      </c>
      <c r="G47" s="76">
        <v>6</v>
      </c>
      <c r="H47" s="76">
        <v>7</v>
      </c>
      <c r="I47" s="76">
        <v>8</v>
      </c>
      <c r="J47" s="76">
        <v>9</v>
      </c>
      <c r="K47" s="76">
        <v>10</v>
      </c>
      <c r="L47" s="76">
        <v>11</v>
      </c>
      <c r="M47" s="76">
        <v>12</v>
      </c>
      <c r="N47" s="76">
        <v>13</v>
      </c>
      <c r="O47" s="76">
        <v>14</v>
      </c>
      <c r="P47" s="76">
        <v>15</v>
      </c>
      <c r="Q47" s="77" t="s">
        <v>533</v>
      </c>
    </row>
    <row r="48" spans="1:17" ht="17" x14ac:dyDescent="0.2">
      <c r="A48" s="26" t="s">
        <v>550</v>
      </c>
      <c r="B48" s="50">
        <f>Integrated!$C$34</f>
        <v>36095.565600000002</v>
      </c>
      <c r="C48" s="50">
        <f>Integrated!$C$34</f>
        <v>36095.565600000002</v>
      </c>
      <c r="D48" s="50">
        <f>Integrated!$C$34</f>
        <v>36095.565600000002</v>
      </c>
      <c r="E48" s="50">
        <f>Integrated!$C$34</f>
        <v>36095.565600000002</v>
      </c>
      <c r="F48" s="50">
        <f>Integrated!$C$34</f>
        <v>36095.565600000002</v>
      </c>
      <c r="G48" s="50">
        <f>Integrated!$C$34</f>
        <v>36095.565600000002</v>
      </c>
      <c r="H48" s="50">
        <f>Integrated!$C$34</f>
        <v>36095.565600000002</v>
      </c>
      <c r="I48" s="50">
        <f>Integrated!$C$34</f>
        <v>36095.565600000002</v>
      </c>
      <c r="J48" s="50">
        <f>Integrated!$C$34</f>
        <v>36095.565600000002</v>
      </c>
      <c r="K48" s="50">
        <f>Integrated!$C$34</f>
        <v>36095.565600000002</v>
      </c>
      <c r="L48" s="50">
        <f>Integrated!$C$34</f>
        <v>36095.565600000002</v>
      </c>
      <c r="M48" s="50">
        <f>Integrated!$C$34</f>
        <v>36095.565600000002</v>
      </c>
      <c r="N48" s="50">
        <f>Integrated!$C$34</f>
        <v>36095.565600000002</v>
      </c>
      <c r="O48" s="50">
        <f>Integrated!$C$34</f>
        <v>36095.565600000002</v>
      </c>
      <c r="P48" s="50">
        <f>Integrated!$C$34</f>
        <v>36095.565600000002</v>
      </c>
      <c r="Q48" s="72">
        <f>SUM(B48:P48)</f>
        <v>541433.48399999982</v>
      </c>
    </row>
    <row r="49" spans="1:17" ht="17" x14ac:dyDescent="0.2">
      <c r="A49" s="26" t="s">
        <v>545</v>
      </c>
      <c r="B49" s="50">
        <f>Integrated!$C$43</f>
        <v>5243.4</v>
      </c>
      <c r="C49" s="50">
        <f>Integrated!$C$43</f>
        <v>5243.4</v>
      </c>
      <c r="D49" s="50">
        <f>Integrated!$C$43</f>
        <v>5243.4</v>
      </c>
      <c r="E49" s="50">
        <f>Integrated!$C$43</f>
        <v>5243.4</v>
      </c>
      <c r="F49" s="50">
        <f>Integrated!$C$43</f>
        <v>5243.4</v>
      </c>
      <c r="G49" s="50">
        <f>Integrated!$C$43</f>
        <v>5243.4</v>
      </c>
      <c r="H49" s="50">
        <f>Integrated!$C$43</f>
        <v>5243.4</v>
      </c>
      <c r="I49" s="50">
        <f>Integrated!$C$43</f>
        <v>5243.4</v>
      </c>
      <c r="J49" s="50">
        <f>Integrated!$C$43</f>
        <v>5243.4</v>
      </c>
      <c r="K49" s="50">
        <f>Integrated!$C$43</f>
        <v>5243.4</v>
      </c>
      <c r="L49" s="50">
        <f>Integrated!$C$43</f>
        <v>5243.4</v>
      </c>
      <c r="M49" s="50">
        <f>Integrated!$C$43</f>
        <v>5243.4</v>
      </c>
      <c r="N49" s="50">
        <f>Integrated!$C$43</f>
        <v>5243.4</v>
      </c>
      <c r="O49" s="50">
        <f>Integrated!$C$43</f>
        <v>5243.4</v>
      </c>
      <c r="P49" s="50">
        <f>Integrated!$C$43</f>
        <v>5243.4</v>
      </c>
      <c r="Q49" s="72">
        <f>SUM(B49:P49)</f>
        <v>78651</v>
      </c>
    </row>
    <row r="50" spans="1:17" ht="17" x14ac:dyDescent="0.2">
      <c r="A50" s="26" t="s">
        <v>535</v>
      </c>
      <c r="B50" s="50">
        <f>Integrated!$C$48</f>
        <v>4496.666666666667</v>
      </c>
      <c r="C50" s="50">
        <f>Integrated!$C$48</f>
        <v>4496.666666666667</v>
      </c>
      <c r="D50" s="50">
        <f>Integrated!$C$48</f>
        <v>4496.666666666667</v>
      </c>
      <c r="E50" s="50">
        <f>Integrated!$C$48</f>
        <v>4496.666666666667</v>
      </c>
      <c r="F50" s="50">
        <f>Integrated!$C$48</f>
        <v>4496.666666666667</v>
      </c>
      <c r="G50" s="50">
        <f>Integrated!$C$48</f>
        <v>4496.666666666667</v>
      </c>
      <c r="H50" s="50">
        <f>Integrated!$C$48</f>
        <v>4496.666666666667</v>
      </c>
      <c r="I50" s="50">
        <f>Integrated!$C$48</f>
        <v>4496.666666666667</v>
      </c>
      <c r="J50" s="50">
        <f>Integrated!$C$48</f>
        <v>4496.666666666667</v>
      </c>
      <c r="K50" s="50">
        <f>Integrated!$C$48</f>
        <v>4496.666666666667</v>
      </c>
      <c r="L50" s="50">
        <f>Integrated!$C$48</f>
        <v>4496.666666666667</v>
      </c>
      <c r="M50" s="50">
        <f>Integrated!$C$48</f>
        <v>4496.666666666667</v>
      </c>
      <c r="N50" s="50">
        <f>Integrated!$C$48</f>
        <v>4496.666666666667</v>
      </c>
      <c r="O50" s="50">
        <f>Integrated!$C$48</f>
        <v>4496.666666666667</v>
      </c>
      <c r="P50" s="50">
        <f>Integrated!$C$48</f>
        <v>4496.666666666667</v>
      </c>
      <c r="Q50" s="72">
        <f>SUM(B50:P50)</f>
        <v>67449.999999999985</v>
      </c>
    </row>
    <row r="51" spans="1:17" ht="17" x14ac:dyDescent="0.2">
      <c r="A51" s="26" t="s">
        <v>536</v>
      </c>
      <c r="B51" s="50">
        <f t="shared" ref="B51:P51" si="16">B48+B49-B50</f>
        <v>36842.298933333339</v>
      </c>
      <c r="C51" s="50">
        <f t="shared" si="16"/>
        <v>36842.298933333339</v>
      </c>
      <c r="D51" s="50">
        <f t="shared" si="16"/>
        <v>36842.298933333339</v>
      </c>
      <c r="E51" s="50">
        <f t="shared" si="16"/>
        <v>36842.298933333339</v>
      </c>
      <c r="F51" s="50">
        <f t="shared" si="16"/>
        <v>36842.298933333339</v>
      </c>
      <c r="G51" s="50">
        <f t="shared" si="16"/>
        <v>36842.298933333339</v>
      </c>
      <c r="H51" s="50">
        <f t="shared" si="16"/>
        <v>36842.298933333339</v>
      </c>
      <c r="I51" s="50">
        <f t="shared" si="16"/>
        <v>36842.298933333339</v>
      </c>
      <c r="J51" s="50">
        <f t="shared" si="16"/>
        <v>36842.298933333339</v>
      </c>
      <c r="K51" s="50">
        <f t="shared" si="16"/>
        <v>36842.298933333339</v>
      </c>
      <c r="L51" s="50">
        <f t="shared" si="16"/>
        <v>36842.298933333339</v>
      </c>
      <c r="M51" s="50">
        <f t="shared" si="16"/>
        <v>36842.298933333339</v>
      </c>
      <c r="N51" s="50">
        <f t="shared" si="16"/>
        <v>36842.298933333339</v>
      </c>
      <c r="O51" s="50">
        <f t="shared" si="16"/>
        <v>36842.298933333339</v>
      </c>
      <c r="P51" s="50">
        <f t="shared" si="16"/>
        <v>36842.298933333339</v>
      </c>
      <c r="Q51" s="72">
        <f>SUM(B51:P51)</f>
        <v>552634.48400000029</v>
      </c>
    </row>
    <row r="52" spans="1:17" x14ac:dyDescent="0.2">
      <c r="A52" s="47" t="s">
        <v>537</v>
      </c>
      <c r="B52" s="50">
        <f>0</f>
        <v>0</v>
      </c>
      <c r="C52" s="50">
        <f t="shared" ref="C52:P52" si="17">B54</f>
        <v>0</v>
      </c>
      <c r="D52" s="50">
        <f t="shared" si="17"/>
        <v>0</v>
      </c>
      <c r="E52" s="50">
        <f t="shared" si="17"/>
        <v>0</v>
      </c>
      <c r="F52" s="50">
        <f t="shared" si="17"/>
        <v>0</v>
      </c>
      <c r="G52" s="50">
        <f t="shared" si="17"/>
        <v>0</v>
      </c>
      <c r="H52" s="50">
        <f t="shared" si="17"/>
        <v>0</v>
      </c>
      <c r="I52" s="50">
        <f t="shared" si="17"/>
        <v>0</v>
      </c>
      <c r="J52" s="50">
        <f t="shared" si="17"/>
        <v>0</v>
      </c>
      <c r="K52" s="50">
        <f t="shared" si="17"/>
        <v>0</v>
      </c>
      <c r="L52" s="50">
        <f t="shared" si="17"/>
        <v>0</v>
      </c>
      <c r="M52" s="50">
        <f t="shared" si="17"/>
        <v>0</v>
      </c>
      <c r="N52" s="50">
        <f t="shared" si="17"/>
        <v>0</v>
      </c>
      <c r="O52" s="50">
        <f t="shared" si="17"/>
        <v>0</v>
      </c>
      <c r="P52" s="50">
        <f t="shared" si="17"/>
        <v>0</v>
      </c>
    </row>
    <row r="53" spans="1:17" x14ac:dyDescent="0.2">
      <c r="A53" s="58" t="s">
        <v>538</v>
      </c>
      <c r="B53" s="78">
        <f t="shared" ref="B53:P53" si="18">MAX(0,B51-B52)</f>
        <v>36842.298933333339</v>
      </c>
      <c r="C53" s="78">
        <f t="shared" si="18"/>
        <v>36842.298933333339</v>
      </c>
      <c r="D53" s="78">
        <f t="shared" si="18"/>
        <v>36842.298933333339</v>
      </c>
      <c r="E53" s="78">
        <f t="shared" si="18"/>
        <v>36842.298933333339</v>
      </c>
      <c r="F53" s="78">
        <f t="shared" si="18"/>
        <v>36842.298933333339</v>
      </c>
      <c r="G53" s="78">
        <f t="shared" si="18"/>
        <v>36842.298933333339</v>
      </c>
      <c r="H53" s="78">
        <f t="shared" si="18"/>
        <v>36842.298933333339</v>
      </c>
      <c r="I53" s="78">
        <f t="shared" si="18"/>
        <v>36842.298933333339</v>
      </c>
      <c r="J53" s="78">
        <f t="shared" si="18"/>
        <v>36842.298933333339</v>
      </c>
      <c r="K53" s="78">
        <f t="shared" si="18"/>
        <v>36842.298933333339</v>
      </c>
      <c r="L53" s="78">
        <f t="shared" si="18"/>
        <v>36842.298933333339</v>
      </c>
      <c r="M53" s="78">
        <f t="shared" si="18"/>
        <v>36842.298933333339</v>
      </c>
      <c r="N53" s="78">
        <f t="shared" si="18"/>
        <v>36842.298933333339</v>
      </c>
      <c r="O53" s="78">
        <f t="shared" si="18"/>
        <v>36842.298933333339</v>
      </c>
      <c r="P53" s="78">
        <f t="shared" si="18"/>
        <v>36842.298933333339</v>
      </c>
      <c r="Q53" s="78">
        <f>SUM(B53:P53)</f>
        <v>552634.48400000029</v>
      </c>
    </row>
    <row r="54" spans="1:17" x14ac:dyDescent="0.2">
      <c r="A54" s="47" t="s">
        <v>539</v>
      </c>
      <c r="B54" s="50">
        <f t="shared" ref="B54:P54" si="19">MAX(0,B52-B51)</f>
        <v>0</v>
      </c>
      <c r="C54" s="50">
        <f t="shared" si="19"/>
        <v>0</v>
      </c>
      <c r="D54" s="50">
        <f t="shared" si="19"/>
        <v>0</v>
      </c>
      <c r="E54" s="50">
        <f t="shared" si="19"/>
        <v>0</v>
      </c>
      <c r="F54" s="50">
        <f t="shared" si="19"/>
        <v>0</v>
      </c>
      <c r="G54" s="50">
        <f t="shared" si="19"/>
        <v>0</v>
      </c>
      <c r="H54" s="50">
        <f t="shared" si="19"/>
        <v>0</v>
      </c>
      <c r="I54" s="50">
        <f t="shared" si="19"/>
        <v>0</v>
      </c>
      <c r="J54" s="50">
        <f t="shared" si="19"/>
        <v>0</v>
      </c>
      <c r="K54" s="50">
        <f t="shared" si="19"/>
        <v>0</v>
      </c>
      <c r="L54" s="50">
        <f t="shared" si="19"/>
        <v>0</v>
      </c>
      <c r="M54" s="50">
        <f t="shared" si="19"/>
        <v>0</v>
      </c>
      <c r="N54" s="50">
        <f t="shared" si="19"/>
        <v>0</v>
      </c>
      <c r="O54" s="50">
        <f t="shared" si="19"/>
        <v>0</v>
      </c>
      <c r="P54" s="50">
        <f t="shared" si="19"/>
        <v>0</v>
      </c>
    </row>
  </sheetData>
  <mergeCells count="1">
    <mergeCell ref="A4:Q4"/>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FA0C5-BE50-4986-A3A9-DF6C85C917D1}">
  <sheetPr>
    <tabColor rgb="FF00B9BD"/>
    <pageSetUpPr fitToPage="1"/>
  </sheetPr>
  <dimension ref="A1:G12"/>
  <sheetViews>
    <sheetView showGridLines="0" zoomScaleNormal="100" workbookViewId="0">
      <selection activeCell="D8" sqref="D8"/>
    </sheetView>
  </sheetViews>
  <sheetFormatPr baseColWidth="10" defaultColWidth="8.6640625" defaultRowHeight="16" x14ac:dyDescent="0.2"/>
  <cols>
    <col min="1" max="1" width="34" style="79" customWidth="1"/>
    <col min="2" max="2" width="26" style="79" customWidth="1"/>
    <col min="3" max="3" width="22" style="79" customWidth="1"/>
    <col min="4" max="6" width="18" style="79" customWidth="1"/>
    <col min="7" max="7" width="33.83203125" style="79" customWidth="1"/>
    <col min="8" max="16384" width="8.6640625" style="79"/>
  </cols>
  <sheetData>
    <row r="1" spans="1:7" s="92" customFormat="1" ht="25" x14ac:dyDescent="0.25">
      <c r="A1" s="91" t="s">
        <v>551</v>
      </c>
    </row>
    <row r="2" spans="1:7" x14ac:dyDescent="0.2">
      <c r="A2" s="80" t="s">
        <v>552</v>
      </c>
    </row>
    <row r="4" spans="1:7" s="85" customFormat="1" ht="51" x14ac:dyDescent="0.2">
      <c r="A4" s="84" t="s">
        <v>553</v>
      </c>
      <c r="B4" s="84" t="s">
        <v>554</v>
      </c>
      <c r="C4" s="84" t="s">
        <v>555</v>
      </c>
      <c r="D4" s="84" t="s">
        <v>556</v>
      </c>
      <c r="E4" s="84" t="s">
        <v>557</v>
      </c>
      <c r="F4" s="84" t="s">
        <v>247</v>
      </c>
      <c r="G4" s="84" t="s">
        <v>558</v>
      </c>
    </row>
    <row r="5" spans="1:7" x14ac:dyDescent="0.2">
      <c r="A5" s="81" t="s">
        <v>559</v>
      </c>
      <c r="B5" s="81" t="s">
        <v>560</v>
      </c>
      <c r="C5" s="82">
        <f>'GG Greenfield'!$C$29</f>
        <v>41338.965600000003</v>
      </c>
      <c r="D5" s="82">
        <f>'GG Greenfield'!$C$33</f>
        <v>0</v>
      </c>
      <c r="E5" s="82">
        <f>'GG Greenfield'!$C$37</f>
        <v>4166.666666666667</v>
      </c>
      <c r="F5" s="83">
        <f>'GG Greenfield'!$C$39</f>
        <v>37172.298933333339</v>
      </c>
      <c r="G5" s="82">
        <f>'Crediting period'!Q12</f>
        <v>557584.48400000029</v>
      </c>
    </row>
    <row r="6" spans="1:7" x14ac:dyDescent="0.2">
      <c r="A6" s="81" t="s">
        <v>561</v>
      </c>
      <c r="B6" s="81" t="s">
        <v>562</v>
      </c>
      <c r="C6" s="82">
        <f>'BO Brownfield'!$C$41</f>
        <v>24014.772000000001</v>
      </c>
      <c r="D6" s="82">
        <f>'BO Brownfield'!$C$45</f>
        <v>0</v>
      </c>
      <c r="E6" s="82">
        <f>'BO Brownfield'!$C$48</f>
        <v>3570</v>
      </c>
      <c r="F6" s="83">
        <f>'BO Brownfield'!$C$50</f>
        <v>20444.772000000001</v>
      </c>
      <c r="G6" s="82">
        <f>'Crediting period'!Q24</f>
        <v>659724.40388902649</v>
      </c>
    </row>
    <row r="7" spans="1:7" x14ac:dyDescent="0.2">
      <c r="A7" s="81" t="s">
        <v>563</v>
      </c>
      <c r="B7" s="81" t="s">
        <v>564</v>
      </c>
      <c r="C7" s="82">
        <f>'ST Storage'!$C$55</f>
        <v>6474.4022058823521</v>
      </c>
      <c r="D7" s="82">
        <f>'ST Storage'!$C$13</f>
        <v>0</v>
      </c>
      <c r="E7" s="82">
        <f>'ST Storage'!$C$57</f>
        <v>330</v>
      </c>
      <c r="F7" s="83">
        <f>'ST Storage'!$C$60</f>
        <v>6144.4022058823521</v>
      </c>
      <c r="G7" s="82">
        <f>'Crediting period'!Q33</f>
        <v>91131.033088235272</v>
      </c>
    </row>
    <row r="8" spans="1:7" x14ac:dyDescent="0.2">
      <c r="A8" s="81" t="s">
        <v>565</v>
      </c>
      <c r="B8" s="81" t="s">
        <v>566</v>
      </c>
      <c r="C8" s="82">
        <f>'CG Captive'!$C$57</f>
        <v>4876.3620000000001</v>
      </c>
      <c r="D8" s="82">
        <f>'CG Captive'!$C$59</f>
        <v>144.659995506</v>
      </c>
      <c r="E8" s="82">
        <f>'CG Captive'!$C$61</f>
        <v>632</v>
      </c>
      <c r="F8" s="83">
        <f>'CG Captive'!$C$63</f>
        <v>4099.702004494</v>
      </c>
      <c r="G8" s="82" t="s">
        <v>567</v>
      </c>
    </row>
    <row r="9" spans="1:7" x14ac:dyDescent="0.2">
      <c r="A9" s="81" t="s">
        <v>568</v>
      </c>
      <c r="B9" s="81" t="s">
        <v>26</v>
      </c>
      <c r="C9" s="82">
        <f>VPP!$C$36+VPP!$C$45</f>
        <v>8059.3796588235309</v>
      </c>
      <c r="D9" s="82">
        <v>0</v>
      </c>
      <c r="E9" s="82">
        <f>VPP!$C$49</f>
        <v>798.66666666666663</v>
      </c>
      <c r="F9" s="83">
        <f>VPP!$C$51</f>
        <v>7260.7129921568639</v>
      </c>
      <c r="G9" s="82">
        <f>'Crediting period'!Q43</f>
        <v>108910.694882353</v>
      </c>
    </row>
    <row r="10" spans="1:7" x14ac:dyDescent="0.2">
      <c r="A10" s="81" t="s">
        <v>569</v>
      </c>
      <c r="B10" s="81" t="s">
        <v>570</v>
      </c>
      <c r="C10" s="82">
        <f>Integrated!$C$34+Integrated!$C$43</f>
        <v>41338.965600000003</v>
      </c>
      <c r="D10" s="82">
        <v>0</v>
      </c>
      <c r="E10" s="82">
        <f>Integrated!$C$48</f>
        <v>4496.666666666667</v>
      </c>
      <c r="F10" s="83">
        <f>Integrated!$C$50</f>
        <v>36842.298933333339</v>
      </c>
      <c r="G10" s="82">
        <f>'Crediting period'!Q53</f>
        <v>552634.48400000029</v>
      </c>
    </row>
    <row r="12" spans="1:7" ht="61.5" customHeight="1" x14ac:dyDescent="0.2">
      <c r="A12" s="106" t="s">
        <v>571</v>
      </c>
      <c r="B12" s="106"/>
      <c r="C12" s="106"/>
      <c r="D12" s="106"/>
      <c r="E12" s="106"/>
      <c r="F12" s="106"/>
      <c r="G12" s="106"/>
    </row>
  </sheetData>
  <mergeCells count="1">
    <mergeCell ref="A12:G12"/>
  </mergeCells>
  <printOptions horizontalCentered="1"/>
  <pageMargins left="0.4" right="0.4" top="1" bottom="1" header="0.511811023622047" footer="0.5"/>
  <pageSetup paperSize="9" fitToHeight="0" orientation="landscape" horizontalDpi="300" verticalDpi="300"/>
  <headerFooter>
    <oddFooter>&amp;C&amp;8 G-RESET Version 1.0 calculation tool: illustrative worked examples.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c63ac8-f873-4864-a556-1526ed5fb1dd">
      <Terms xmlns="http://schemas.microsoft.com/office/infopath/2007/PartnerControls"/>
    </lcf76f155ced4ddcb4097134ff3c332f>
    <TaxCatchAll xmlns="b83aece0-62c2-469f-addf-c34b3ad5a9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915A58E75E724683C9EF54A4DEE385" ma:contentTypeVersion="15" ma:contentTypeDescription="Create a new document." ma:contentTypeScope="" ma:versionID="ad55eeab5960cfeaad34050dba95bdb0">
  <xsd:schema xmlns:xsd="http://www.w3.org/2001/XMLSchema" xmlns:xs="http://www.w3.org/2001/XMLSchema" xmlns:p="http://schemas.microsoft.com/office/2006/metadata/properties" xmlns:ns2="7dc63ac8-f873-4864-a556-1526ed5fb1dd" xmlns:ns3="b83aece0-62c2-469f-addf-c34b3ad5a904" targetNamespace="http://schemas.microsoft.com/office/2006/metadata/properties" ma:root="true" ma:fieldsID="cfdc523ad7e76973d295ff876cf96883" ns2:_="" ns3:_="">
    <xsd:import namespace="7dc63ac8-f873-4864-a556-1526ed5fb1dd"/>
    <xsd:import namespace="b83aece0-62c2-469f-addf-c34b3ad5a9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c63ac8-f873-4864-a556-1526ed5fb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f161edd-7b79-4478-98eb-f673e2ec4f9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3aece0-62c2-469f-addf-c34b3ad5a90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0eb0c7-d26c-4099-bb9e-4c18748980ce}" ma:internalName="TaxCatchAll" ma:showField="CatchAllData" ma:web="b83aece0-62c2-469f-addf-c34b3ad5a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8FAFF3-B631-46C0-9943-CCDBF42190B1}">
  <ds:schemaRefs>
    <ds:schemaRef ds:uri="http://www.w3.org/XML/1998/namespace"/>
    <ds:schemaRef ds:uri="http://purl.org/dc/terms/"/>
    <ds:schemaRef ds:uri="http://purl.org/dc/dcmitype/"/>
    <ds:schemaRef ds:uri="http://schemas.microsoft.com/office/2006/documentManagement/types"/>
    <ds:schemaRef ds:uri="http://purl.org/dc/elements/1.1/"/>
    <ds:schemaRef ds:uri="b83aece0-62c2-469f-addf-c34b3ad5a904"/>
    <ds:schemaRef ds:uri="7dc63ac8-f873-4864-a556-1526ed5fb1dd"/>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7AD62802-8CF9-4B43-BAC1-A4F49F98CF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c63ac8-f873-4864-a556-1526ed5fb1dd"/>
    <ds:schemaRef ds:uri="b83aece0-62c2-469f-addf-c34b3ad5a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D361DC-34FE-446E-B91D-80D1F6D4CC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Introduction</vt:lpstr>
      <vt:lpstr>Read me</vt:lpstr>
      <vt:lpstr>Defaults</vt:lpstr>
      <vt:lpstr>Host system</vt:lpstr>
      <vt:lpstr>GG Greenfield</vt:lpstr>
      <vt:lpstr>BO Brownfield</vt:lpstr>
      <vt:lpstr>ST Storage</vt:lpstr>
      <vt:lpstr>CG Captive</vt:lpstr>
      <vt:lpstr>VPP</vt:lpstr>
      <vt:lpstr>Integrated</vt:lpstr>
      <vt:lpstr>Crediting period</vt: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Excel GS4GG</dc:title>
  <dc:subject/>
  <dc:creator>Gold Standard</dc:creator>
  <cp:keywords/>
  <dc:description/>
  <cp:lastModifiedBy>Ema Cima</cp:lastModifiedBy>
  <cp:revision/>
  <dcterms:created xsi:type="dcterms:W3CDTF">2010-07-23T12:49:31Z</dcterms:created>
  <dcterms:modified xsi:type="dcterms:W3CDTF">2026-10-15T10:42:21Z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0x01010042915A58E75E724683C9EF54A4DEE385</vt:lpwstr>
  </property>
  <property fmtid="{D5CDD505-2E9C-101B-9397-08002B2CF9AE}" pid="3" name="MediaServiceImageTags">
    <vt:lpwstr/>
  </property>
  <property fmtid="{D5CDD505-2E9C-101B-9397-08002B2CF9AE}" pid="4" name="Order">
    <vt:i4>1873900</vt:i4>
  </property>
  <property fmtid="{D5CDD505-2E9C-101B-9397-08002B2CF9AE}" pid="5" name="xd_Signature">
    <vt:bool>false</vt:bool>
  </property>
  <property fmtid="{D5CDD505-2E9C-101B-9397-08002B2CF9AE}" pid="6" name="GUID">
    <vt:lpwstr>7820190d-e94f-4df1-81e9-0cfe388c9d09</vt:lpwstr>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